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3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0">'Plan1'!$E$2:$R$11</definedName>
    <definedName name="_xlnm.Print_Area" localSheetId="1">('Plan2'!$A$3:$G$104,'Plan2'!$J$3:$N$19)</definedName>
  </definedNames>
  <calcPr fullCalcOnLoad="1"/>
</workbook>
</file>

<file path=xl/sharedStrings.xml><?xml version="1.0" encoding="utf-8"?>
<sst xmlns="http://schemas.openxmlformats.org/spreadsheetml/2006/main" count="1631" uniqueCount="492">
  <si>
    <t>HORA/HOMEM PARA ATIVIDADE DE AUDITORIA INTERNA - ANEXO II PAINT 2015</t>
  </si>
  <si>
    <t>RELAÇÃO DE FERIADOS NACIONAIS E EM DIAMANTINA/MG 2016</t>
  </si>
  <si>
    <t>Rosana</t>
  </si>
  <si>
    <t>JANEIRO#</t>
  </si>
  <si>
    <t>FEVEREIRO</t>
  </si>
  <si>
    <t>MARÇO</t>
  </si>
  <si>
    <t>ABRIL#</t>
  </si>
  <si>
    <t>MAIO</t>
  </si>
  <si>
    <t>JUNHO#</t>
  </si>
  <si>
    <t>JULHO</t>
  </si>
  <si>
    <t>AGOSTO</t>
  </si>
  <si>
    <t>SETEMBRO</t>
  </si>
  <si>
    <r>
      <t>OUTUBRO</t>
    </r>
    <r>
      <rPr>
        <b/>
        <sz val="10"/>
        <color indexed="57"/>
        <rFont val="Arial"/>
        <family val="2"/>
      </rPr>
      <t>#</t>
    </r>
  </si>
  <si>
    <t>NOVEMBRO</t>
  </si>
  <si>
    <t>DEZEMBRO#</t>
  </si>
  <si>
    <t>TOTAL</t>
  </si>
  <si>
    <t>Data</t>
  </si>
  <si>
    <t>Dia da Semana</t>
  </si>
  <si>
    <t>Feriado</t>
  </si>
  <si>
    <t>DIAS</t>
  </si>
  <si>
    <t>Sexta Feira</t>
  </si>
  <si>
    <t>Ano Novo</t>
  </si>
  <si>
    <t>FERIADOS</t>
  </si>
  <si>
    <t>Segunda-Feira</t>
  </si>
  <si>
    <t>Carnaval</t>
  </si>
  <si>
    <t>SABADOS</t>
  </si>
  <si>
    <t>Terça-Feira</t>
  </si>
  <si>
    <t>DOMINGO</t>
  </si>
  <si>
    <t>Quarta-Feira</t>
  </si>
  <si>
    <t>Cinzas</t>
  </si>
  <si>
    <t>FÉRIAS</t>
  </si>
  <si>
    <t>Sexta-Feira</t>
  </si>
  <si>
    <t>Sexta Feira Santa</t>
  </si>
  <si>
    <t>DIAS UTÉIS</t>
  </si>
  <si>
    <t>Terça Feira</t>
  </si>
  <si>
    <t>Tiradentes</t>
  </si>
  <si>
    <t>hrs Utéis/dia</t>
  </si>
  <si>
    <t>Quinta-Feira</t>
  </si>
  <si>
    <t>Dia do Trabalho</t>
  </si>
  <si>
    <t>hrs Utéis/Mês</t>
  </si>
  <si>
    <t>Corpus Christi</t>
  </si>
  <si>
    <t>Dia de Santo Antonio – Feriado Municipal</t>
  </si>
  <si>
    <t>Fernando</t>
  </si>
  <si>
    <t>Independência do Brasil</t>
  </si>
  <si>
    <t>Nossa Senhora Aparecida</t>
  </si>
  <si>
    <t>Dia do Servidor</t>
  </si>
  <si>
    <t>Finados</t>
  </si>
  <si>
    <t>Proclamação da República</t>
  </si>
  <si>
    <t>Nossa Senhora da Conceição Fer. Munic.</t>
  </si>
  <si>
    <t>Férias da equipe de Auditoria</t>
  </si>
  <si>
    <t>Novo Auditor</t>
  </si>
  <si>
    <t>Período</t>
  </si>
  <si>
    <t xml:space="preserve"> Dias Úteis</t>
  </si>
  <si>
    <t>Servidora</t>
  </si>
  <si>
    <t>04/01/16 a 15/01/16</t>
  </si>
  <si>
    <t>Rosana Barros Malta Gomes – 8h/Dia</t>
  </si>
  <si>
    <t>11/02/16 a 23/02/16</t>
  </si>
  <si>
    <t>12/12/16 a 16/12/16</t>
  </si>
  <si>
    <t>18/01/16 a 30/01/16</t>
  </si>
  <si>
    <t>Daniel Medeiros – 8h/Dia</t>
  </si>
  <si>
    <t>18/07/16 a 29/7/16</t>
  </si>
  <si>
    <t>10/10/16 a 14/10/16</t>
  </si>
  <si>
    <t>18/01/16 a 22/01/16</t>
  </si>
  <si>
    <t>Fernando Ferreira Souza – 6h/Dia</t>
  </si>
  <si>
    <t>14/10/16 a 27/10/16</t>
  </si>
  <si>
    <t>12/12/16 a 22/12/16</t>
  </si>
  <si>
    <t>TOTAL HOMEM/HORA PARA ATIVIDADE DE AUDITORIA INTERNA</t>
  </si>
  <si>
    <t xml:space="preserve">TOTAL DE DIAS UTEIS </t>
  </si>
  <si>
    <t># O feriado cai numa 3ª ou 5ª e pode haver recesso</t>
  </si>
  <si>
    <t>PLANEJAMENTO DE HORAS A SEREM TRABALHADAS EM 2010 PELOS SERVIDORES DA AUDITORIA INTERNA - UFRN</t>
  </si>
  <si>
    <t>NOME DO SERVIDOR</t>
  </si>
  <si>
    <t>MÊS</t>
  </si>
  <si>
    <t>QUANTIDADE</t>
  </si>
  <si>
    <t>CONTROLE DE FÉRIAS / LICENÇA</t>
  </si>
  <si>
    <t>SALDO</t>
  </si>
  <si>
    <t>DIAS ÚTEIS</t>
  </si>
  <si>
    <t>HORAS</t>
  </si>
  <si>
    <t>TOTAL DE HORAS DOS</t>
  </si>
  <si>
    <t>DE HORAS</t>
  </si>
  <si>
    <t>PERÍODO DE FÉRIAS / LICENÇA</t>
  </si>
  <si>
    <t>DIAS UTÉIS (EM H)</t>
  </si>
  <si>
    <t xml:space="preserve"> POR DIA</t>
  </si>
  <si>
    <t xml:space="preserve"> DE HORAS</t>
  </si>
  <si>
    <t>SERVIDORES</t>
  </si>
  <si>
    <t>Halcima Melo Batista</t>
  </si>
  <si>
    <t>JANEIRO</t>
  </si>
  <si>
    <t>07 a 26</t>
  </si>
  <si>
    <t>ABRIL</t>
  </si>
  <si>
    <t>JUNHO</t>
  </si>
  <si>
    <t>12 a 31</t>
  </si>
  <si>
    <t>01 a 05</t>
  </si>
  <si>
    <t>OUTUBRO</t>
  </si>
  <si>
    <t>DEZEMBRO</t>
  </si>
  <si>
    <t>Total de Horas AUDIN</t>
  </si>
  <si>
    <t>Francisco Queiroz de Lima</t>
  </si>
  <si>
    <t>27 a 31</t>
  </si>
  <si>
    <t>14 a 30</t>
  </si>
  <si>
    <t>1 a 3</t>
  </si>
  <si>
    <t>Genoclêmia Mércia Mafra da Rocha</t>
  </si>
  <si>
    <t>08 a 22</t>
  </si>
  <si>
    <t>06 a 20</t>
  </si>
  <si>
    <t>Liana Carine Fernandes de Queiroz</t>
  </si>
  <si>
    <t>05 a 14</t>
  </si>
  <si>
    <t>13 a 22</t>
  </si>
  <si>
    <t>14 a 23</t>
  </si>
  <si>
    <t>Maria Cláudia Teixeira de Cerqueira</t>
  </si>
  <si>
    <t>14 a 31</t>
  </si>
  <si>
    <t>01 a 12 e 18 a 19</t>
  </si>
  <si>
    <t>19 a 28</t>
  </si>
  <si>
    <t>03 a 12</t>
  </si>
  <si>
    <t>Acompanhamento mensal das ações de auditoria interna previstas - AUDIN/UFRN 2010</t>
  </si>
  <si>
    <t>Nº AÇÃO</t>
  </si>
  <si>
    <t>Ação após avaliação sumária quanto ao risco inerente e sua relevância</t>
  </si>
  <si>
    <t>Origem da Demanda</t>
  </si>
  <si>
    <t>Objetivo da auditoria</t>
  </si>
  <si>
    <t>Escopo do trabalho</t>
  </si>
  <si>
    <t>Local de Realização</t>
  </si>
  <si>
    <t>Conhecimento Exigido</t>
  </si>
  <si>
    <t>Período de Execução</t>
  </si>
  <si>
    <t>Dias</t>
  </si>
  <si>
    <t>h/h</t>
  </si>
  <si>
    <t xml:space="preserve">CONTROLES DA GESTÃO - Atuação do TCU
</t>
  </si>
  <si>
    <t>Gabinete do Reitor</t>
  </si>
  <si>
    <t>Reuniões periódicas a fim de levantar as dificuldades para o cumprimento das demandas do TCU</t>
  </si>
  <si>
    <t>Acompanhamento de 100% das solicitações do TCU</t>
  </si>
  <si>
    <t>Funcionamento da UFRN</t>
  </si>
  <si>
    <t>25 e 26/jan</t>
  </si>
  <si>
    <t>Nº dias úteis x qtd. Horas diárias x qtd. Pessoas envolvidas</t>
  </si>
  <si>
    <t>CONTROLES DA GESTÃO - Atuação da AUDIN  - Elaboração do RAINT</t>
  </si>
  <si>
    <t>CGU</t>
  </si>
  <si>
    <t>Elaboração do Relatório Anual das Atividades da Auditoria Interna em 2009</t>
  </si>
  <si>
    <t>-</t>
  </si>
  <si>
    <t>AUDIN</t>
  </si>
  <si>
    <t>IN CGU nº  07/06 e IN CGU nº  01/07</t>
  </si>
  <si>
    <t>4 a 5/jan   e         27 a 29/jan</t>
  </si>
  <si>
    <t>CONTROLES DA GESTÃO - Atuação da AUDIN</t>
  </si>
  <si>
    <t>AUDIN/CGU</t>
  </si>
  <si>
    <t>Acompanhamento da elaboração dos relatórios de auditoria (registro das constatações de auditoria, notas de auditoria, pareceres técnicos e outros)</t>
  </si>
  <si>
    <t>100% dos relatórios, notas e pareceres elaborados pela AUDIN</t>
  </si>
  <si>
    <t>Normas de auditoria e legislação aplicada.</t>
  </si>
  <si>
    <t xml:space="preserve"> 27 a 29/jan</t>
  </si>
  <si>
    <t>GESTÃO ORÇAMENTÁRIA - Análise da execução</t>
  </si>
  <si>
    <t>Verificar a execução da despesa de acordo com as normas vigentes de modo a evitar conflitos com a legislação</t>
  </si>
  <si>
    <t>40% do valor total dos processos de pagamento pelo fornecimento  de bens e prestação de serviços</t>
  </si>
  <si>
    <t>AUDIN / Unidades / Hospitais</t>
  </si>
  <si>
    <t xml:space="preserve">Consulta SIAFI, SIASG e SIPAC
Lei 8666/93, Lei 4.320/64 e normas correlatas
</t>
  </si>
  <si>
    <t>18 a 30/jan</t>
  </si>
  <si>
    <t>GESTÃO FINANCEIRA - Indenizações</t>
  </si>
  <si>
    <t>Verificar a legalidade do ato de concessão de diárias, passagens e ajudas de custo, inibindo pagamentos indevidos</t>
  </si>
  <si>
    <t>30% do valor total dos processos de diárias e de ajudas de custo concedidas e 10% das passagens concedidas</t>
  </si>
  <si>
    <t>AUDIN / DCF / Unidades / Hospitais</t>
  </si>
  <si>
    <t xml:space="preserve">Lei 8.112/90, Dec. nº  5992/06  Port. 98/03
Dec. 4004/01
Consulta SIAPE,  SIAFI e SIASG
Normas internas da UFRN
</t>
  </si>
  <si>
    <t>GESTÃO FINANCEIRA - Cartão Corporativo</t>
  </si>
  <si>
    <t>Analisar a aplicação e prestação de contas dos recursos, evitando incompatibilidade com as normas vigentes.</t>
  </si>
  <si>
    <t>Três utilizações de valores mais relevantes de cada cartão existente na UFRN e Complexo Hospitalar</t>
  </si>
  <si>
    <t xml:space="preserve">Lei 4.320/64
Decreto-lei 200
Dec. 93.872/86
Dec. 5.355/05
Dec. 6.370/07
Port. 95 MF/2002
Port. 41 MP/2005
Port. 01 MP/2006
Port. 44 MP/2006
Manual do SIAFI
</t>
  </si>
  <si>
    <t>GESTÃO DE SUPRIMENTO DE BENS E SERVIÇOS - Processos Licitatórios</t>
  </si>
  <si>
    <t>TCU / CGU / AUDIN</t>
  </si>
  <si>
    <t>Verificar a legalidade e formalidades do certame, identificando a existência de impropriedades nos processos licitatórios</t>
  </si>
  <si>
    <t>20% do valor total dos processos no período</t>
  </si>
  <si>
    <t>AUDIN / PROAD / DMP / Unidades acadêmicas / Hospitais</t>
  </si>
  <si>
    <t xml:space="preserve">Lei 8.666/93
Lei 10.520/02
LC 123/06
Dec. 3.555/00
Dec. 5.450/05
Dec. 5.504/05
Dec. 3.391/01
Lei 8.897/95
Lei 11.079/04
</t>
  </si>
  <si>
    <t xml:space="preserve"> 04 a 29/jan</t>
  </si>
  <si>
    <t>GESTÃO DE SUPRIMENTO DE BENS E SERVIÇOS - Contratos</t>
  </si>
  <si>
    <t>CGU / AUDIN</t>
  </si>
  <si>
    <t>15% do valor total dos contratos vigentes</t>
  </si>
  <si>
    <t>AUDIN / FUNPEC / DCF / DMP</t>
  </si>
  <si>
    <t>RESERVA TÉCNICA - Assessoramentos e Orientações</t>
  </si>
  <si>
    <t>GABINETE DO REITOR / UNIDADES GESTORAS</t>
  </si>
  <si>
    <t>Assessoramento a administração com emissão de orientações, pareceres, minutas de normas/portarias, bem como palestras informativas para todos os servidores da unidade demandada</t>
  </si>
  <si>
    <t>Todos os gestores da UFRN e encarregados na utilização dos recursos.</t>
  </si>
  <si>
    <t>Normas internas da instituição e legislação pertinente</t>
  </si>
  <si>
    <t xml:space="preserve"> 04 a 29/01</t>
  </si>
  <si>
    <t>20% aplicados sobre o total de horas do mês</t>
  </si>
  <si>
    <t>SOMA</t>
  </si>
  <si>
    <t>Total de horas utéis JANEIRO</t>
  </si>
  <si>
    <t>DIFERENÇA</t>
  </si>
  <si>
    <t>22 e 23/fev</t>
  </si>
  <si>
    <t>CONTROLE DA GESTÃO - Atuação da AUDIN  - Elaboração do RAINT</t>
  </si>
  <si>
    <t>Normas de auditoria e legislação aplicada</t>
  </si>
  <si>
    <t xml:space="preserve"> 24 a 26/fev</t>
  </si>
  <si>
    <t>CONTROLES DA GESTÃO - Formalização da Prestação de Contas</t>
  </si>
  <si>
    <t>Acompanhar a elaboração e verificar o cumprimento das formalidades exigidas na prestação de contas, evitando incompatibilidade com a legislação</t>
  </si>
  <si>
    <t>Relatórios de gestão e prestação de contas anual</t>
  </si>
  <si>
    <t xml:space="preserve">DN TCU 100/09
Portaria CGU 2.270/09
</t>
  </si>
  <si>
    <t xml:space="preserve"> 01 a 26/fev</t>
  </si>
  <si>
    <t>CONTROLES DA GESTÃO - Atuação do CONCURA</t>
  </si>
  <si>
    <t>Verificar o cumprimento das resoluções do CONCURA, evitando a inobservância às suas deliberações.  Assessorar os conselheiros (subsidiar  decisões).
Participar das reuniões.</t>
  </si>
  <si>
    <t>100% das resoluções deliberadas no exercício</t>
  </si>
  <si>
    <t>AUDIN / Colegiados / Unidades</t>
  </si>
  <si>
    <t>Resoluções do CONCURA e Regimento Interno da Instituição</t>
  </si>
  <si>
    <t>22 a 26/fev</t>
  </si>
  <si>
    <t xml:space="preserve"> 01 a 19/fev</t>
  </si>
  <si>
    <t>GESTÃO DE RECURSOS HUMANOS - Insalubridade / Periculosidade</t>
  </si>
  <si>
    <t>Verificar a existência de laudo pericial evitando pagamento indevido</t>
  </si>
  <si>
    <t>20% dos servidores que recebem os adicionais</t>
  </si>
  <si>
    <t>PRH / DAP / AUDIN</t>
  </si>
  <si>
    <t xml:space="preserve">Lei 8.112/90, SIAPE
Normas internas da UFRN
</t>
  </si>
  <si>
    <t>GESTÃO DE RECURSOS HUMANOS - Assistência ao estudante de ensino de Graduação (Bolsas de auxílio ao estudante - apoio técnico, carente, auxílio estágio)</t>
  </si>
  <si>
    <t>Verificar a existência de normas para seleção de bolsistas por tipo de bolsas e o cumprimento das etapas de cadastro e registro de freqüência  dos bolsistas, evitando transgredir as normas vigentes</t>
  </si>
  <si>
    <t>20% do valor total de bolsas pagas pela UFRN</t>
  </si>
  <si>
    <t>PROAD / SAE / DCF</t>
  </si>
  <si>
    <t xml:space="preserve">Lei do Estágio
Normas internas da UFRN
</t>
  </si>
  <si>
    <t>GESTÃO OPERACIONAL  - Acompanhamento da execução dos projetos de reestruturação e expansão da UFRN</t>
  </si>
  <si>
    <t>CGU/ SUP. INFRA ESTRUTURA</t>
  </si>
  <si>
    <t>Verificação dos processos de licitação e acompanhamento do cronograma de obras</t>
  </si>
  <si>
    <t xml:space="preserve">Amostra de um processo por Unidade Acadêmica que contenha um maior número de vagas </t>
  </si>
  <si>
    <t>SINFRA / AUDIN</t>
  </si>
  <si>
    <t>Controle Administrativo da demanda</t>
  </si>
  <si>
    <t xml:space="preserve"> 0 a 19/fev</t>
  </si>
  <si>
    <t>GESTÃO OPERACIONAL  - Análise da fidedignidade dos indicadores de desempenho das IFES</t>
  </si>
  <si>
    <t>TCU/CGU</t>
  </si>
  <si>
    <t>Verificar a fidedignidade dos indicadores de desempenho e como foram calculados</t>
  </si>
  <si>
    <t>Relatório de gestão – prestação de contas anual</t>
  </si>
  <si>
    <t xml:space="preserve">Decisão TCU n.º 408/2002-Plenário
“Orientações para o cálculo dos indicadores de gestão”
Portaria CGU 2.270/09
</t>
  </si>
  <si>
    <t>Total de horas utéis FEVEREIRO</t>
  </si>
  <si>
    <t>TCU</t>
  </si>
  <si>
    <t>Acompanhar o atendimento aos Acórdãos e Diligências evitando a não implementação pelos setores responsáveis.</t>
  </si>
  <si>
    <t>100% dos Acórdãos  e diligências emitidas</t>
  </si>
  <si>
    <t>AUDIN / Unidades</t>
  </si>
  <si>
    <t>Legislação e normas vigentes</t>
  </si>
  <si>
    <t xml:space="preserve"> 01 a 31/mar</t>
  </si>
  <si>
    <t>29 e 30/mar</t>
  </si>
  <si>
    <t>Acompanhar e verificar o atendimento das solicitações de auditoria, orientações, recomendações e plano de providências evitando a fragilidade dos controles</t>
  </si>
  <si>
    <t>100% das solicitações de auditoria, orientações, recomendações e plano de providências</t>
  </si>
  <si>
    <t>AUDIN/ Unidades</t>
  </si>
  <si>
    <t>Observação às Normas Vigentes</t>
  </si>
  <si>
    <t xml:space="preserve"> 01 a 05/mar</t>
  </si>
  <si>
    <t xml:space="preserve"> 22 a 26/mar</t>
  </si>
  <si>
    <t>Emitir parecer sobre o relatório de gestão e prestação de contas 2009</t>
  </si>
  <si>
    <t xml:space="preserve">DN TCU 100/09
Portaria CGU 2.270/09 e anexos
</t>
  </si>
  <si>
    <t xml:space="preserve"> 01 a 26/mar</t>
  </si>
  <si>
    <t>GESTÃO FINANCEIRA - Recursos Exigíveis</t>
  </si>
  <si>
    <t>Verificar os pagamentos de restos a pagar e despesas de exercícios anteriores, evitando incompatibilidade com as normas vigentes</t>
  </si>
  <si>
    <t>30%  do saldo de restos a pagar</t>
  </si>
  <si>
    <t>AUDIN / DCF / SEOs das Unidades e Hospitais</t>
  </si>
  <si>
    <t xml:space="preserve">Lei 4.320/64
Consulta SIAFI
</t>
  </si>
  <si>
    <t xml:space="preserve"> 08 a 26/mar</t>
  </si>
  <si>
    <t>GESTÃO DE RECURSOS HUMANOS - Realização de Concurso Público para professores</t>
  </si>
  <si>
    <t>Verificar  o cumprimento das etapas do concurso, evitando transgredir as normas vigentes</t>
  </si>
  <si>
    <t>PRH / DAP / AUDIN / Unidades Acadêmicas</t>
  </si>
  <si>
    <t xml:space="preserve">GESTÃO DE RECURSOS HUMANOS - Movimentação de Pessoal </t>
  </si>
  <si>
    <t>Verificar o reembolso pela cessão de pessoal a outros órgãos, evitando ônus para a Instituição</t>
  </si>
  <si>
    <t>50% do pessoal cedido</t>
  </si>
  <si>
    <t xml:space="preserve"> 08 a 31/mar</t>
  </si>
  <si>
    <t xml:space="preserve"> 01 a 16/mar</t>
  </si>
  <si>
    <t xml:space="preserve">GESTÃO OPERACIONAL  - PDI - Plano de Desenvolvimento Institucional </t>
  </si>
  <si>
    <t>Verificar  se  as  metas   previstas  foram  cumpridas e se as  prioridades para  a  utilização  dos  recursos  destinados  a  obras e  Instalações e equipamentos  e  materiais  permanente estão de acordo com o planejado</t>
  </si>
  <si>
    <t>AUDIN / PROPLAN</t>
  </si>
  <si>
    <t xml:space="preserve"> 01 a 31/03</t>
  </si>
  <si>
    <t>Total de horas utéis MARÇO</t>
  </si>
  <si>
    <t>26 e 27/abr</t>
  </si>
  <si>
    <t xml:space="preserve">CONTROLES DA GESTÃO - Atuação da CGU
</t>
  </si>
  <si>
    <t>Acompanhar o atendimento das solicitações na auditoria de acompanhamento e fazer a ponte com os setores/unidades internas</t>
  </si>
  <si>
    <t>Acompanhamento de 100% das solicitações de auditoria da CGU</t>
  </si>
  <si>
    <t xml:space="preserve"> 12 a 30/abr</t>
  </si>
  <si>
    <t>Acompanhar e verificar o atendimento das solicitações de auditoria, orientações, recomendações e plano de providências evitando a fragilidade dos controles.</t>
  </si>
  <si>
    <t xml:space="preserve"> 05 a 09/abr</t>
  </si>
  <si>
    <t>Elaboração do Relatório Anual das Atividades da Auditoria Interna em 2010</t>
  </si>
  <si>
    <t>Primeiro trimestre 2010</t>
  </si>
  <si>
    <t xml:space="preserve"> 19 a 23/abr</t>
  </si>
  <si>
    <t>GESTÃO ORÇAMENTÁRIA - Convênios de Receitas</t>
  </si>
  <si>
    <t>Verificar a legalidade, execução e prestação de contas de convênios de receitas, identificando descumprimentos aos seus termos e à legislação</t>
  </si>
  <si>
    <t>Dois processos completos de convênios de receitas vigentes no exercício, de valores relevantes em relação ao orçamento</t>
  </si>
  <si>
    <t>AUDIN / PROPLAN / FUNPEC / DCF e Direção da Unidade</t>
  </si>
  <si>
    <t xml:space="preserve">Normas internas da UFRN e FUNPEC
Consulta SIAFI e SIMEC, 
Dec. 6170/07
Portaria Interministerial 127-2008
</t>
  </si>
  <si>
    <t xml:space="preserve"> 05 a 30/abr</t>
  </si>
  <si>
    <t xml:space="preserve"> 01 a 30/abr</t>
  </si>
  <si>
    <t xml:space="preserve"> 01 a 16/abr</t>
  </si>
  <si>
    <t>GESTÃO DE RECURSOS HUMANOS - Processos de contratação de pessoal previstos pelo REUNI</t>
  </si>
  <si>
    <t>Verificar o cumprimento do cronograma e a distribuição dos cargos em função dos setores demandante</t>
  </si>
  <si>
    <t>50% dos novos servidores</t>
  </si>
  <si>
    <t xml:space="preserve">Quadro de distribuição de vagas REUNI
Edital n.º 036/2008
</t>
  </si>
  <si>
    <t xml:space="preserve"> 01 a 30/04</t>
  </si>
  <si>
    <t>CAPACITAÇÃO - Curso de SIAFI</t>
  </si>
  <si>
    <t>Atualização e capacitação da equipe.</t>
  </si>
  <si>
    <t>Todos os servidores que executam a auditoria</t>
  </si>
  <si>
    <t>Horas do curso multiplicadas pelo nº participantes</t>
  </si>
  <si>
    <t>Total de horas utéis ABRIL</t>
  </si>
  <si>
    <t>24 e 25/mai</t>
  </si>
  <si>
    <t xml:space="preserve"> 03 a 07/mai</t>
  </si>
  <si>
    <t xml:space="preserve"> 17 a 28/mai</t>
  </si>
  <si>
    <t xml:space="preserve"> 03 a 21/mai</t>
  </si>
  <si>
    <t xml:space="preserve"> 10 a 31/mai</t>
  </si>
  <si>
    <t>GESTÃO DE SUPRIMENTO DE BENS E SERVIÇOS - Convênios de Despesas</t>
  </si>
  <si>
    <t>Verificar a legalidade, execução e prestação de contas de convênios de despesas, identificando descumprimentos aos seus termos e à legislação</t>
  </si>
  <si>
    <t>Dois processos completos de convênios de despesas vigentes no exercício, de valores relevantes em relação ao orçamento</t>
  </si>
  <si>
    <t xml:space="preserve"> 03 a 28/mai</t>
  </si>
  <si>
    <t xml:space="preserve"> 03 a 31/05</t>
  </si>
  <si>
    <t xml:space="preserve">CAPACITAÇÃO - Curso de Execução Orçamentária, Financeira e Contábil </t>
  </si>
  <si>
    <t>CAPACITAÇÃO - XXXII FONAI-MEC</t>
  </si>
  <si>
    <t>Promoção de integração e treinamento dos auditores internos de todas as instituições federais vinculadas ao MEC</t>
  </si>
  <si>
    <t>Chefe da AUDIN e seu  substituto</t>
  </si>
  <si>
    <t>Total de horas utéis MAIO</t>
  </si>
  <si>
    <t>28 e 29/jun</t>
  </si>
  <si>
    <t xml:space="preserve"> 14 a 30/jun</t>
  </si>
  <si>
    <t>Acompanhar o atendimento das orientações, recomendações e plano de providências evitando a não implementação pelos setores responsáveis</t>
  </si>
  <si>
    <t>100%  das orientações, recomendações e plano de providências</t>
  </si>
  <si>
    <t xml:space="preserve"> 01 a 30/jun</t>
  </si>
  <si>
    <t xml:space="preserve"> 07 a 11/jun</t>
  </si>
  <si>
    <t xml:space="preserve"> 21 a 30/jun</t>
  </si>
  <si>
    <t>GESTÃO PATRIMONIAL - Bens Móveis</t>
  </si>
  <si>
    <t>Verificar a consistência e aderência dos controles administrativos,  utilização, conservação e baixa de bens, prevenindo desvios e uso inadequado</t>
  </si>
  <si>
    <t>5% dos bens móveis da UFRN e do Complexo Hospitalar</t>
  </si>
  <si>
    <t>AUDIN / DMP, Unidades acadêmicas, Hospitais</t>
  </si>
  <si>
    <t xml:space="preserve">IN nº 205/1988 
Dec. 200/67
Princípios Fundamentais de Contabilidade
Normas Brasileiras de Contabilidade e Normas internas da UFRN
</t>
  </si>
  <si>
    <t xml:space="preserve"> 07 a 30/jun</t>
  </si>
  <si>
    <t xml:space="preserve"> 01 a 30/06</t>
  </si>
  <si>
    <t>CAPACITAÇÃO - Curso de Gestão e Execução de Contratos</t>
  </si>
  <si>
    <t>Dois servidores que executam a auditoria, mais voltada para esse tema</t>
  </si>
  <si>
    <t xml:space="preserve"> 01 a 04/06</t>
  </si>
  <si>
    <t>CAPACITAÇÃO - Curso de Licitação em obras e serviços de engenharia</t>
  </si>
  <si>
    <t xml:space="preserve"> 07 a 09/06</t>
  </si>
  <si>
    <t>CAPACITAÇÃO - Curso de Gestão de Convenios</t>
  </si>
  <si>
    <t xml:space="preserve"> 14 a 16/06</t>
  </si>
  <si>
    <t>CAPACITAÇÃO - Congresso ANPCONT</t>
  </si>
  <si>
    <t>Atualização da equipe.</t>
  </si>
  <si>
    <t>Um servidor que será multiplicador</t>
  </si>
  <si>
    <t xml:space="preserve"> 10 a 11/06</t>
  </si>
  <si>
    <t>Total de horas utéis JUNHO</t>
  </si>
  <si>
    <t xml:space="preserve"> 05 a 09/jul</t>
  </si>
  <si>
    <t>Segundo trimestre 2010</t>
  </si>
  <si>
    <t>01 e 02/jul</t>
  </si>
  <si>
    <t xml:space="preserve"> 05 a 16/jul</t>
  </si>
  <si>
    <t>GESTÃO PATRIMONIAL - Acervo de Bens Culturais</t>
  </si>
  <si>
    <t>10% dos bens do acervo</t>
  </si>
  <si>
    <t>AUDIN / DMP / Bibliotecas</t>
  </si>
  <si>
    <t xml:space="preserve">IN nº 205/1988 
Princípios Fundamentais de Contabilidade
Normas Brasileiras de Contabilidade e Normas internas da UFRN
</t>
  </si>
  <si>
    <t xml:space="preserve"> 07 a 30/jul</t>
  </si>
  <si>
    <t xml:space="preserve"> 01 a 30/07</t>
  </si>
  <si>
    <t>CAPACITAÇÃO - Cursos, palestras e aulas ministrados</t>
  </si>
  <si>
    <t>Atualização e divulgação da auditoria governamental para discentes, docentes e profissionais contábeis</t>
  </si>
  <si>
    <t>Discentes, docentes e profissionais contábeis</t>
  </si>
  <si>
    <t xml:space="preserve"> 01 a 09/07</t>
  </si>
  <si>
    <t>CAPACITAÇÃO - Fortalecimento da unidade de auditoria interna</t>
  </si>
  <si>
    <t>Aprovação do regimento interno; reestruturação da auditoria com redistribuição das tarefas (entrada de novos servidores); SIAFI gerencial</t>
  </si>
  <si>
    <t>Total de horas utéis JULHO</t>
  </si>
  <si>
    <t>Acompanhar auditorias especiais e fazer a ponte com os setores/unidades internas.</t>
  </si>
  <si>
    <t xml:space="preserve"> 09 a 31/ago</t>
  </si>
  <si>
    <t>GABINETE DO REITOR</t>
  </si>
  <si>
    <t>30 e 31/ago</t>
  </si>
  <si>
    <t xml:space="preserve"> 02 a 06/ago</t>
  </si>
  <si>
    <t xml:space="preserve"> 16 a 31/ago</t>
  </si>
  <si>
    <t xml:space="preserve"> 02 a 31/ago</t>
  </si>
  <si>
    <t>GESTÃO PATRIMONIAL - Bens Imóveis</t>
  </si>
  <si>
    <t>Verificação documental e de uso dos imóveis, evitando irregularidades, desvios de finalidade e uso indevido por terceiros</t>
  </si>
  <si>
    <t>5% dos imóveis da UFRN e do Complexo Hospitalar</t>
  </si>
  <si>
    <t xml:space="preserve"> 02 a 27/ago</t>
  </si>
  <si>
    <t>Total de horas utéis AGOSTO</t>
  </si>
  <si>
    <t>27 e 28/set</t>
  </si>
  <si>
    <t xml:space="preserve"> 01 a 30/set</t>
  </si>
  <si>
    <t xml:space="preserve"> 01 a 06/set</t>
  </si>
  <si>
    <t xml:space="preserve"> 20 a 30/set</t>
  </si>
  <si>
    <t xml:space="preserve"> 08 a 24/set</t>
  </si>
  <si>
    <t xml:space="preserve"> 01 a 17/set</t>
  </si>
  <si>
    <t>GESTÃO PATRIMONIAL - Transportes</t>
  </si>
  <si>
    <t>Verificar a eficácia do gerenciamento e dos controles, evitando a utilização inadequada dos veículos</t>
  </si>
  <si>
    <t>10% dos veículos</t>
  </si>
  <si>
    <t>AUDIN / STO (Administração da Reitoria)</t>
  </si>
  <si>
    <t xml:space="preserve">IN nº 205/1988
Dec. nº 99.658/90
IN CGU nº  01/07
Normas da Pró-Reitoria de Administração
</t>
  </si>
  <si>
    <t xml:space="preserve"> 01 a 30/set </t>
  </si>
  <si>
    <t>30% aplicados sobre o total de horas do mês</t>
  </si>
  <si>
    <t>Total de horas utéis SETEMBRO</t>
  </si>
  <si>
    <t xml:space="preserve"> 01 a 30/out</t>
  </si>
  <si>
    <t>25 e 26/out</t>
  </si>
  <si>
    <t>Acompanhar o atendimento das solicitações na auditoria de acompanhamento da auditoria</t>
  </si>
  <si>
    <t xml:space="preserve"> 18 a 29/out</t>
  </si>
  <si>
    <t xml:space="preserve"> 04 a 08/out</t>
  </si>
  <si>
    <t>CONTROLE DA GESTÃO - Atuação da AUDIN  - Elaboração do PAINT</t>
  </si>
  <si>
    <t>Elaboração do Plano Anual das Atividades da Auditoria Interna para 2011</t>
  </si>
  <si>
    <t>PAINT 2010</t>
  </si>
  <si>
    <t xml:space="preserve"> 04 a 29/out</t>
  </si>
  <si>
    <t xml:space="preserve"> 01 a 29/out</t>
  </si>
  <si>
    <t>CAPACITAÇÃO - XXXIII FONAI-MEC</t>
  </si>
  <si>
    <t xml:space="preserve"> 25 a 29/out</t>
  </si>
  <si>
    <t>CAPACITAÇÃO - Curso de Qualificação de chefias e assessores do serviço público</t>
  </si>
  <si>
    <t>Atualização e capacitação da chefia e substituto</t>
  </si>
  <si>
    <t>Total de horas utéis OUTUBRO</t>
  </si>
  <si>
    <t>29 e 30/nov</t>
  </si>
  <si>
    <t xml:space="preserve"> 03 a 08/nov</t>
  </si>
  <si>
    <t>Terceiro trimestre 2010</t>
  </si>
  <si>
    <t>01 e 03/nov</t>
  </si>
  <si>
    <t xml:space="preserve"> 22 a 30/nov</t>
  </si>
  <si>
    <t xml:space="preserve"> 03 a 19/nov</t>
  </si>
  <si>
    <t xml:space="preserve"> 01 a 26/nov</t>
  </si>
  <si>
    <t xml:space="preserve"> 01 a 30/nov</t>
  </si>
  <si>
    <t>CAPACITAÇÃO - XI PROLATINO - Congresso Internacional de Contabilidade do Mundo Latino</t>
  </si>
  <si>
    <t>Atualização e multiplicação</t>
  </si>
  <si>
    <t>Chefe da auditoria interna</t>
  </si>
  <si>
    <t xml:space="preserve"> 08 a 12/nov</t>
  </si>
  <si>
    <t>Total de horas utéis NOVEMBRO</t>
  </si>
  <si>
    <t>27 a 31/dez</t>
  </si>
  <si>
    <t xml:space="preserve"> 20 a 31/dez</t>
  </si>
  <si>
    <t xml:space="preserve"> 01 a 17/dez</t>
  </si>
  <si>
    <t>GESTÃO DE RECURSOS HUMANOS - Regime Disciplinar</t>
  </si>
  <si>
    <t>Verificar  o cumprimento da aplicação das penalidades, evitando transgredir as normas vigentes</t>
  </si>
  <si>
    <t>20% dos processos disciplinares e de sindicância</t>
  </si>
  <si>
    <t>AUDIN / REITORIA</t>
  </si>
  <si>
    <t xml:space="preserve">Lei 8.112/90
Lei 8.429/02
Normas internas da UFRN
</t>
  </si>
  <si>
    <t xml:space="preserve"> 01 a 21/dez</t>
  </si>
  <si>
    <t xml:space="preserve"> 01 a 31/dez</t>
  </si>
  <si>
    <t xml:space="preserve"> 01 a 10/dez</t>
  </si>
  <si>
    <t>Total de horas utéis DEZEMBRO</t>
  </si>
  <si>
    <t>SOMA TOTAL</t>
  </si>
  <si>
    <t>Total de horas utéis no ano 2010</t>
  </si>
  <si>
    <r>
      <t>26243 – UNIVERSIDADE FEDERAL DO RIO GRANDE DO NORTE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</si>
  <si>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Programa 0089 – Previdência de Inativos e Pensionistas da União</t>
  </si>
  <si>
    <t>Muito alta materialidade</t>
  </si>
  <si>
    <t xml:space="preserve">   X &gt;</t>
  </si>
  <si>
    <t>Ação: 0181 Pagamento de Aposentadorias e Pensões – Servidores Civis</t>
  </si>
  <si>
    <t>Alta Materialidade</t>
  </si>
  <si>
    <t>&lt; X &lt;</t>
  </si>
  <si>
    <t>Atividade</t>
  </si>
  <si>
    <t>Classificação</t>
  </si>
  <si>
    <t>Valor Estimado</t>
  </si>
  <si>
    <t>Média materialidade</t>
  </si>
  <si>
    <t>Pagamento de Aposentadorias e Pensões</t>
  </si>
  <si>
    <t>Muito alta materialidade, Relevante, Está sendo acompanhada pela CGU</t>
  </si>
  <si>
    <t>Baixa materialidade</t>
  </si>
  <si>
    <t>Programa 0750 – Apoio Administrativo</t>
  </si>
  <si>
    <t>Muito baixa materialidade</t>
  </si>
  <si>
    <t xml:space="preserve">   X &lt;</t>
  </si>
  <si>
    <t>Ação: 2004 Assistência Médica e Odontológica aos Servidores, Empregados e seus Dependentes</t>
  </si>
  <si>
    <t>Assistência Médica e Odontológica aos Servidores, Empregados e seus Dependentes</t>
  </si>
  <si>
    <t>Média materialidade, Coadjuvante, Possui bom controle</t>
  </si>
  <si>
    <t>Ação: 2010 Assistência Pré-Escolar aos Dependentes dos Servidores e Empregados</t>
  </si>
  <si>
    <t>Assistência Pré-Escolar aos Dependentes dos Servidores e Empregados</t>
  </si>
  <si>
    <t>Muito baixa materialidade, Coadjuvante, Possui bom controle</t>
  </si>
  <si>
    <t>Ação: 2011 Auxílio-transporte aos Servidores e Empregados</t>
  </si>
  <si>
    <t>Auxílio-transporte aos Servidores e Empregados</t>
  </si>
  <si>
    <t>Ação: 2012 Auxílio-alimentação aos Servidores e Empregados</t>
  </si>
  <si>
    <t>Auxílio-alimentação aos Servidores e Empregados</t>
  </si>
  <si>
    <t>Baixa materialidade, Coadjuvante, Possui bom controle</t>
  </si>
  <si>
    <t>Ação: 20CW Assistência Médica aos Servidores e Empregados – Exames Periódicos</t>
  </si>
  <si>
    <t>Assistência Médica aos Servidores e Empregados – Exames Periódicos</t>
  </si>
  <si>
    <t>Programa 0901 – Operações especiais Cumprimento de Sentenças Judiciais</t>
  </si>
  <si>
    <t>Operação especial: 0005 Cumprimento de Sentença Judicial transitada em julgado (precatórios) devida pela União, Autarquia e Fundações Públicas</t>
  </si>
  <si>
    <t>Cumprimento de Sentença Judicial transitada em julgado (precatórios) devida pela União, Autarquia e Fundações Públicas</t>
  </si>
  <si>
    <t>Operação especial: 00G5 Contribuição da União, de suas Autarquias e Fundações para o custeio do Regime de Previdência dos Servidores Públicos Federais decorrentes do Pagamento de Precatórios e Requisições de Pequeno Valor</t>
  </si>
  <si>
    <t>Contribuição da União, de suas Autarquias e Fundações para o custeio do Regime de Previdência dos Servidores Públicos Federais decorrentes do Pagamento de Precatórios e Requisições de Pequeno Valor</t>
  </si>
  <si>
    <t>Coadjuvante</t>
  </si>
  <si>
    <t>Programa 1061 – Brasil Escolarizado</t>
  </si>
  <si>
    <t>Ação 2991: Funcionamento do Ensino Médio na Rede Federal</t>
  </si>
  <si>
    <t>Unidade Responsável</t>
  </si>
  <si>
    <t>Funcionamento do Ensino Médio na Rede Federal</t>
  </si>
  <si>
    <t>Ação 8429: Formação Inicial e Continuada a Distância</t>
  </si>
  <si>
    <t>Formação Inicial e Continuada a Distância no Estado do Rio Grande do Norte</t>
  </si>
  <si>
    <t>Programa 1062 – Desenvolvimento da Educação Profissional e Tecnológica</t>
  </si>
  <si>
    <t>Ação 2992: Funcionamento da Educação Profissional</t>
  </si>
  <si>
    <t>Funcionamento da Educação Profissional</t>
  </si>
  <si>
    <t>Programa 1067 – Gestão da Política de Educação</t>
  </si>
  <si>
    <t>Ação 4572: Capacitação de Servidores Públicos Federais em Processo de Qualificação e Requalificação</t>
  </si>
  <si>
    <t>Capacitação de Servidores Públicos Federais em Processo de Qualificação e Requalificação</t>
  </si>
  <si>
    <t>Programa 1073 – Brasil Universitário</t>
  </si>
  <si>
    <t>Ação 4002: Assistência ao estudante do ensino de graduação</t>
  </si>
  <si>
    <t>Assistência ao estudante de ensino de Graduação (Bolsas de auxílio ao estudante - apoio técnico, carente, auxílio estágio)</t>
  </si>
  <si>
    <t>Essencial</t>
  </si>
  <si>
    <t>Ação 4004: Serviços à comunidade por meio da Extensão Universitária</t>
  </si>
  <si>
    <t>Serviços à comunidade por meio da Extensão Universitária</t>
  </si>
  <si>
    <t>Ação 4008: Acervo bibliográfico destinado às Instituições Federais de Ensino Superior e Hospitais de Ensino</t>
  </si>
  <si>
    <t>Acervo bibliográfico destinado às IFES e Hospitais de Ensino (Acervo de bens culturais)</t>
  </si>
  <si>
    <t>Relevante</t>
  </si>
  <si>
    <t>Ação 4009: Funcionamento de Cursos de Graduação</t>
  </si>
  <si>
    <t>Funcionamento de Cursos de Graduação (Análise da Execução,</t>
  </si>
  <si>
    <t>Convênios de Receitas, Indenização, Cartão Corporativo, Recursos Exigíveis, Processos Licitatórios, Contratos, Convênios de Despesas, Insalubridade / Periculosidade, Realização de Concurso Público para professores, Acumulação de Cargos, Movimentação de Pessoal, Capacitação e Treinamento, Regime Disciplinar, Bens Móveis e Imóveis, Transporte)</t>
  </si>
  <si>
    <t>Ação 6328: Universidade Aberta e à Distância</t>
  </si>
  <si>
    <t>Universidade Aberta e à Distância – Funcionamento dos cursos</t>
  </si>
  <si>
    <t>Ação 8282: Reestruturação e Expansão das Universidades Federais – REUNI</t>
  </si>
  <si>
    <t>Reestruturação e Expansão da UFRN – REUNI  (Contratações)</t>
  </si>
  <si>
    <t>Projeto 11I9: REUNI - Readequação da Infra-Estrutura da Universidade Federal do Rio Grande do Norte (UFRN)</t>
  </si>
  <si>
    <t>Reestruturação e Expansão da UFRN – REUNI (Acompanhamento da execução dos projetos)</t>
  </si>
  <si>
    <t>Operação especial 09HB: Contribuição da União, de suas Autarquias e Fundações para o custeio do Regime de Previdência dos Servidores Públicos Federais</t>
  </si>
  <si>
    <t>Contribuição da União, de suas Autarquias e Fundações para o custeio do Regime de Previdência dos Servidores Públicos Federais</t>
  </si>
  <si>
    <t>Programa 1293 – Assistência Farmacêutica e Insumos Estratégicos</t>
  </si>
  <si>
    <t>Ação 2522 Produção de Fármacos, Medicamentos e Fitoterápicos</t>
  </si>
  <si>
    <t>Produção de Fármacos, Medicamentos e Fitoterápicos</t>
  </si>
  <si>
    <t>NUPLAN</t>
  </si>
  <si>
    <t>Programa 1375 – Desenvolvimento do Ensino da Pós-Graduação e da Pesquisa Científica</t>
  </si>
  <si>
    <t>Ação 4006 Funcionamento de Cursos de Pós-Graduação</t>
  </si>
  <si>
    <t>Funcionamento de Cursos de Pós-Graduação (Análise da execução, Convênios de Receitas e Despesas, Suprimento de Fundos, Recursos Exigíveis, Processos Licitatórios, Contratos, Bens Móveis e Imóveis, Transporte)</t>
  </si>
  <si>
    <t>Unidades acadêmicas, DCF, SEOs, DAP, DDRH, Gabinete do Reitor, DMP, Administração da Reitoria.</t>
  </si>
  <si>
    <t>Ação 8667 Pesquisa Universitária e difusão dos seus resultados</t>
  </si>
  <si>
    <t>Pesquisa Universitária e difusão dos seus resultados</t>
  </si>
  <si>
    <t>PROPESQ / Unidades acadêmicas</t>
  </si>
  <si>
    <r>
      <t>26374 – COMPLEXO HOSPITALAR E DE SAÚDE DA UFRN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</si>
  <si>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PRH / DAP</t>
  </si>
  <si>
    <t>PRH / DAP / Unidades hospitalares</t>
  </si>
  <si>
    <t>Programa 1067 - Gestão da Política de Educação</t>
  </si>
  <si>
    <t>PRH / DDRH</t>
  </si>
  <si>
    <t>Ação 4086: Funcionamento dos Hospitais de Ensino</t>
  </si>
  <si>
    <t>Funcionamento dos Hospitais de Ensino (Análise da Execução,</t>
  </si>
  <si>
    <t>Unidades hospitalares, DCF, SEOs, DAP, DDRH, Gabinete do Reitor, DMP, Direção dos hospitais.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</si>
</sst>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"/>
    <numFmt numFmtId="167" formatCode="DD/MM/YY\ HH:MM"/>
    <numFmt numFmtId="168" formatCode="_(* #,##0.00_);_(* \(#,##0.00\);_(* \-??_);_(@_)"/>
    <numFmt numFmtId="169" formatCode="DD/MMM"/>
    <numFmt numFmtId="170" formatCode="_(* #,##0_);_(* \(#,##0\);_(* \-??_);_(@_)"/>
    <numFmt numFmtId="171" formatCode="#,##0.00"/>
    <numFmt numFmtId="172" formatCode="0%"/>
    <numFmt numFmtId="173" formatCode="0.00%"/>
  </numFmts>
  <fonts count="16">
    <font>
      <sz val="10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57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color indexed="57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6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5" fontId="0" fillId="0" borderId="7" xfId="0" applyNumberFormat="1" applyFont="1" applyBorder="1" applyAlignment="1">
      <alignment horizontal="center" wrapText="1"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7" xfId="0" applyFont="1" applyBorder="1" applyAlignment="1">
      <alignment horizontal="center" wrapText="1"/>
    </xf>
    <xf numFmtId="165" fontId="0" fillId="0" borderId="7" xfId="0" applyNumberFormat="1" applyFont="1" applyBorder="1" applyAlignment="1">
      <alignment horizontal="center"/>
    </xf>
    <xf numFmtId="164" fontId="0" fillId="0" borderId="7" xfId="0" applyFont="1" applyFill="1" applyBorder="1" applyAlignment="1">
      <alignment wrapText="1"/>
    </xf>
    <xf numFmtId="164" fontId="0" fillId="0" borderId="0" xfId="0" applyFill="1" applyBorder="1" applyAlignment="1">
      <alignment horizontal="center"/>
    </xf>
    <xf numFmtId="164" fontId="6" fillId="0" borderId="0" xfId="20" applyNumberFormat="1" applyFill="1" applyBorder="1" applyAlignment="1" applyProtection="1">
      <alignment wrapText="1"/>
      <protection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4" fontId="7" fillId="0" borderId="0" xfId="0" applyFont="1" applyBorder="1" applyAlignment="1">
      <alignment wrapText="1"/>
    </xf>
    <xf numFmtId="164" fontId="8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center"/>
    </xf>
    <xf numFmtId="167" fontId="0" fillId="0" borderId="7" xfId="0" applyNumberFormat="1" applyFont="1" applyBorder="1" applyAlignment="1">
      <alignment wrapText="1"/>
    </xf>
    <xf numFmtId="164" fontId="0" fillId="0" borderId="7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2" fillId="2" borderId="2" xfId="0" applyFont="1" applyFill="1" applyBorder="1" applyAlignment="1">
      <alignment horizontal="center" vertical="top" wrapText="1"/>
    </xf>
    <xf numFmtId="164" fontId="12" fillId="2" borderId="12" xfId="0" applyFont="1" applyFill="1" applyBorder="1" applyAlignment="1">
      <alignment horizontal="center" vertical="top" wrapText="1"/>
    </xf>
    <xf numFmtId="164" fontId="12" fillId="2" borderId="13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12" fillId="0" borderId="2" xfId="0" applyFont="1" applyBorder="1" applyAlignment="1">
      <alignment horizontal="center" vertical="top" wrapText="1"/>
    </xf>
    <xf numFmtId="164" fontId="12" fillId="0" borderId="12" xfId="0" applyFont="1" applyBorder="1" applyAlignment="1">
      <alignment horizontal="center" vertical="top" wrapText="1"/>
    </xf>
    <xf numFmtId="164" fontId="10" fillId="0" borderId="0" xfId="0" applyFont="1" applyFill="1" applyBorder="1" applyAlignment="1">
      <alignment horizontal="center" vertical="top" wrapText="1"/>
    </xf>
    <xf numFmtId="164" fontId="12" fillId="2" borderId="14" xfId="0" applyFont="1" applyFill="1" applyBorder="1" applyAlignment="1">
      <alignment horizontal="center" vertical="top" wrapText="1"/>
    </xf>
    <xf numFmtId="164" fontId="12" fillId="2" borderId="15" xfId="0" applyFont="1" applyFill="1" applyBorder="1" applyAlignment="1">
      <alignment horizontal="center" vertical="top" wrapText="1"/>
    </xf>
    <xf numFmtId="164" fontId="12" fillId="2" borderId="16" xfId="0" applyFont="1" applyFill="1" applyBorder="1" applyAlignment="1">
      <alignment horizontal="center" vertical="top" wrapText="1"/>
    </xf>
    <xf numFmtId="164" fontId="12" fillId="0" borderId="17" xfId="0" applyFont="1" applyBorder="1" applyAlignment="1">
      <alignment horizontal="center" vertical="top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vertical="top" wrapText="1"/>
    </xf>
    <xf numFmtId="164" fontId="9" fillId="2" borderId="2" xfId="0" applyFont="1" applyFill="1" applyBorder="1" applyAlignment="1">
      <alignment horizontal="center"/>
    </xf>
    <xf numFmtId="164" fontId="9" fillId="2" borderId="17" xfId="0" applyFont="1" applyFill="1" applyBorder="1" applyAlignment="1">
      <alignment horizontal="center" vertical="top" wrapText="1"/>
    </xf>
    <xf numFmtId="164" fontId="9" fillId="2" borderId="18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 wrapText="1"/>
    </xf>
    <xf numFmtId="164" fontId="12" fillId="0" borderId="18" xfId="0" applyFont="1" applyBorder="1" applyAlignment="1">
      <alignment horizontal="center" vertical="top" wrapText="1"/>
    </xf>
    <xf numFmtId="164" fontId="9" fillId="0" borderId="17" xfId="0" applyFont="1" applyBorder="1" applyAlignment="1">
      <alignment horizontal="center" wrapText="1"/>
    </xf>
    <xf numFmtId="164" fontId="9" fillId="0" borderId="1" xfId="0" applyFont="1" applyBorder="1" applyAlignment="1">
      <alignment horizontal="center" vertical="top" wrapText="1"/>
    </xf>
    <xf numFmtId="164" fontId="9" fillId="0" borderId="13" xfId="0" applyFont="1" applyBorder="1" applyAlignment="1">
      <alignment horizontal="center"/>
    </xf>
    <xf numFmtId="164" fontId="13" fillId="0" borderId="0" xfId="0" applyFont="1" applyFill="1" applyBorder="1" applyAlignment="1">
      <alignment horizontal="center" wrapText="1"/>
    </xf>
    <xf numFmtId="164" fontId="9" fillId="2" borderId="19" xfId="0" applyFont="1" applyFill="1" applyBorder="1" applyAlignment="1">
      <alignment horizontal="center"/>
    </xf>
    <xf numFmtId="164" fontId="9" fillId="2" borderId="17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9" fillId="2" borderId="18" xfId="0" applyFont="1" applyFill="1" applyBorder="1" applyAlignment="1">
      <alignment vertical="top" wrapText="1"/>
    </xf>
    <xf numFmtId="164" fontId="12" fillId="0" borderId="17" xfId="0" applyFont="1" applyBorder="1" applyAlignment="1">
      <alignment horizontal="center" wrapText="1"/>
    </xf>
    <xf numFmtId="164" fontId="12" fillId="0" borderId="1" xfId="0" applyFont="1" applyBorder="1" applyAlignment="1">
      <alignment horizontal="center" vertical="top" wrapText="1"/>
    </xf>
    <xf numFmtId="164" fontId="12" fillId="0" borderId="2" xfId="0" applyFont="1" applyBorder="1" applyAlignment="1">
      <alignment horizontal="center"/>
    </xf>
    <xf numFmtId="166" fontId="12" fillId="0" borderId="17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12" fillId="0" borderId="20" xfId="0" applyFont="1" applyBorder="1" applyAlignment="1">
      <alignment/>
    </xf>
    <xf numFmtId="164" fontId="9" fillId="0" borderId="21" xfId="0" applyFont="1" applyFill="1" applyBorder="1" applyAlignment="1">
      <alignment horizontal="center" vertical="top" wrapText="1"/>
    </xf>
    <xf numFmtId="164" fontId="9" fillId="0" borderId="22" xfId="0" applyFont="1" applyBorder="1" applyAlignment="1">
      <alignment/>
    </xf>
    <xf numFmtId="166" fontId="12" fillId="0" borderId="2" xfId="15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>
      <alignment/>
    </xf>
    <xf numFmtId="164" fontId="9" fillId="2" borderId="1" xfId="0" applyFont="1" applyFill="1" applyBorder="1" applyAlignment="1">
      <alignment horizontal="left" vertical="top" wrapText="1"/>
    </xf>
    <xf numFmtId="164" fontId="9" fillId="2" borderId="1" xfId="0" applyFont="1" applyFill="1" applyBorder="1" applyAlignment="1">
      <alignment horizontal="center" vertical="top" wrapText="1"/>
    </xf>
    <xf numFmtId="164" fontId="10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3" fillId="2" borderId="23" xfId="0" applyFont="1" applyFill="1" applyBorder="1" applyAlignment="1">
      <alignment horizontal="center" vertical="distributed" wrapText="1"/>
    </xf>
    <xf numFmtId="164" fontId="3" fillId="2" borderId="24" xfId="0" applyFont="1" applyFill="1" applyBorder="1" applyAlignment="1">
      <alignment horizontal="center" vertical="distributed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Font="1" applyBorder="1" applyAlignment="1">
      <alignment horizontal="left" vertical="distributed" wrapText="1"/>
    </xf>
    <xf numFmtId="164" fontId="0" fillId="0" borderId="7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top" wrapText="1"/>
    </xf>
    <xf numFmtId="169" fontId="0" fillId="0" borderId="7" xfId="0" applyNumberFormat="1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7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center" vertical="center" wrapText="1"/>
    </xf>
    <xf numFmtId="164" fontId="0" fillId="0" borderId="0" xfId="0" applyFont="1" applyAlignment="1">
      <alignment horizontal="left" vertical="center" wrapText="1"/>
    </xf>
    <xf numFmtId="164" fontId="0" fillId="0" borderId="7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center" vertical="center" wrapText="1"/>
    </xf>
    <xf numFmtId="164" fontId="0" fillId="2" borderId="27" xfId="0" applyFont="1" applyFill="1" applyBorder="1" applyAlignment="1">
      <alignment horizontal="center"/>
    </xf>
    <xf numFmtId="164" fontId="3" fillId="2" borderId="14" xfId="0" applyFont="1" applyFill="1" applyBorder="1" applyAlignment="1">
      <alignment/>
    </xf>
    <xf numFmtId="164" fontId="2" fillId="0" borderId="28" xfId="0" applyFont="1" applyBorder="1" applyAlignment="1">
      <alignment horizontal="center"/>
    </xf>
    <xf numFmtId="164" fontId="14" fillId="0" borderId="29" xfId="0" applyFont="1" applyBorder="1" applyAlignment="1">
      <alignment/>
    </xf>
    <xf numFmtId="164" fontId="14" fillId="0" borderId="0" xfId="0" applyFont="1" applyAlignment="1">
      <alignment/>
    </xf>
    <xf numFmtId="164" fontId="0" fillId="3" borderId="27" xfId="0" applyFont="1" applyFill="1" applyBorder="1" applyAlignment="1">
      <alignment horizontal="center"/>
    </xf>
    <xf numFmtId="164" fontId="0" fillId="3" borderId="14" xfId="0" applyFill="1" applyBorder="1" applyAlignment="1">
      <alignment/>
    </xf>
    <xf numFmtId="164" fontId="0" fillId="0" borderId="30" xfId="0" applyBorder="1" applyAlignment="1">
      <alignment/>
    </xf>
    <xf numFmtId="164" fontId="3" fillId="2" borderId="2" xfId="0" applyFont="1" applyFill="1" applyBorder="1" applyAlignment="1">
      <alignment horizontal="center" vertical="distributed" wrapText="1"/>
    </xf>
    <xf numFmtId="164" fontId="3" fillId="2" borderId="13" xfId="0" applyFont="1" applyFill="1" applyBorder="1" applyAlignment="1">
      <alignment horizontal="center"/>
    </xf>
    <xf numFmtId="164" fontId="0" fillId="0" borderId="8" xfId="0" applyBorder="1" applyAlignment="1">
      <alignment horizontal="center" vertical="center"/>
    </xf>
    <xf numFmtId="164" fontId="0" fillId="3" borderId="31" xfId="0" applyFont="1" applyFill="1" applyBorder="1" applyAlignment="1">
      <alignment horizontal="center"/>
    </xf>
    <xf numFmtId="164" fontId="0" fillId="3" borderId="17" xfId="0" applyFill="1" applyBorder="1" applyAlignment="1">
      <alignment/>
    </xf>
    <xf numFmtId="164" fontId="0" fillId="0" borderId="25" xfId="0" applyFont="1" applyBorder="1" applyAlignment="1">
      <alignment horizontal="left" vertical="top" wrapText="1"/>
    </xf>
    <xf numFmtId="164" fontId="0" fillId="0" borderId="25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0" fillId="0" borderId="32" xfId="0" applyBorder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7" xfId="0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0" fillId="0" borderId="34" xfId="0" applyFont="1" applyBorder="1" applyAlignment="1">
      <alignment horizontal="left" vertical="top" wrapText="1"/>
    </xf>
    <xf numFmtId="164" fontId="0" fillId="0" borderId="34" xfId="0" applyFont="1" applyBorder="1" applyAlignment="1">
      <alignment horizontal="center" vertical="center" wrapText="1"/>
    </xf>
    <xf numFmtId="167" fontId="0" fillId="0" borderId="34" xfId="0" applyNumberFormat="1" applyFont="1" applyBorder="1" applyAlignment="1">
      <alignment horizontal="center" vertical="center" wrapText="1"/>
    </xf>
    <xf numFmtId="164" fontId="0" fillId="0" borderId="35" xfId="0" applyFont="1" applyBorder="1" applyAlignment="1">
      <alignment horizontal="center" vertical="center"/>
    </xf>
    <xf numFmtId="164" fontId="0" fillId="0" borderId="36" xfId="0" applyBorder="1" applyAlignment="1">
      <alignment horizontal="center" vertical="center"/>
    </xf>
    <xf numFmtId="164" fontId="0" fillId="0" borderId="0" xfId="0" applyFill="1" applyBorder="1" applyAlignment="1">
      <alignment horizontal="center" vertical="center" wrapText="1"/>
    </xf>
    <xf numFmtId="164" fontId="3" fillId="2" borderId="37" xfId="0" applyFont="1" applyFill="1" applyBorder="1" applyAlignment="1">
      <alignment/>
    </xf>
    <xf numFmtId="164" fontId="15" fillId="2" borderId="38" xfId="0" applyFont="1" applyFill="1" applyBorder="1" applyAlignment="1">
      <alignment horizontal="center"/>
    </xf>
    <xf numFmtId="170" fontId="4" fillId="2" borderId="12" xfId="15" applyNumberFormat="1" applyFont="1" applyFill="1" applyBorder="1" applyAlignment="1" applyProtection="1">
      <alignment/>
      <protection/>
    </xf>
    <xf numFmtId="166" fontId="2" fillId="0" borderId="29" xfId="0" applyNumberFormat="1" applyFont="1" applyBorder="1" applyAlignment="1">
      <alignment/>
    </xf>
    <xf numFmtId="164" fontId="15" fillId="3" borderId="31" xfId="0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/>
    </xf>
    <xf numFmtId="164" fontId="10" fillId="0" borderId="0" xfId="0" applyFont="1" applyBorder="1" applyAlignment="1">
      <alignment horizontal="center"/>
    </xf>
    <xf numFmtId="171" fontId="3" fillId="0" borderId="0" xfId="0" applyNumberFormat="1" applyFont="1" applyAlignment="1">
      <alignment/>
    </xf>
    <xf numFmtId="164" fontId="10" fillId="0" borderId="13" xfId="0" applyFont="1" applyBorder="1" applyAlignment="1">
      <alignment vertical="top" wrapText="1"/>
    </xf>
    <xf numFmtId="164" fontId="13" fillId="0" borderId="2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3" fillId="0" borderId="22" xfId="0" applyFont="1" applyBorder="1" applyAlignment="1">
      <alignment horizontal="center" vertical="top" wrapText="1"/>
    </xf>
    <xf numFmtId="172" fontId="13" fillId="0" borderId="22" xfId="0" applyNumberFormat="1" applyFont="1" applyBorder="1" applyAlignment="1">
      <alignment vertical="top" wrapText="1"/>
    </xf>
    <xf numFmtId="164" fontId="10" fillId="0" borderId="18" xfId="0" applyFont="1" applyBorder="1" applyAlignment="1">
      <alignment vertical="top" wrapText="1"/>
    </xf>
    <xf numFmtId="164" fontId="13" fillId="0" borderId="18" xfId="0" applyFont="1" applyBorder="1" applyAlignment="1">
      <alignment vertical="top" wrapText="1"/>
    </xf>
    <xf numFmtId="172" fontId="13" fillId="0" borderId="17" xfId="0" applyNumberFormat="1" applyFont="1" applyBorder="1" applyAlignment="1">
      <alignment vertical="top" wrapText="1"/>
    </xf>
    <xf numFmtId="164" fontId="13" fillId="0" borderId="17" xfId="0" applyFont="1" applyBorder="1" applyAlignment="1">
      <alignment horizontal="center" vertical="top" wrapText="1"/>
    </xf>
    <xf numFmtId="164" fontId="10" fillId="0" borderId="17" xfId="0" applyFont="1" applyBorder="1" applyAlignment="1">
      <alignment vertical="top" wrapText="1"/>
    </xf>
    <xf numFmtId="164" fontId="13" fillId="0" borderId="17" xfId="0" applyFont="1" applyBorder="1" applyAlignment="1">
      <alignment vertical="top" wrapText="1"/>
    </xf>
    <xf numFmtId="166" fontId="13" fillId="0" borderId="17" xfId="0" applyNumberFormat="1" applyFont="1" applyBorder="1" applyAlignment="1">
      <alignment horizontal="right" vertical="top" wrapText="1"/>
    </xf>
    <xf numFmtId="173" fontId="0" fillId="0" borderId="0" xfId="19" applyNumberFormat="1" applyFont="1" applyFill="1" applyBorder="1" applyAlignment="1" applyProtection="1">
      <alignment/>
      <protection/>
    </xf>
    <xf numFmtId="173" fontId="13" fillId="0" borderId="17" xfId="0" applyNumberFormat="1" applyFont="1" applyBorder="1" applyAlignment="1">
      <alignment vertical="top" wrapText="1"/>
    </xf>
    <xf numFmtId="164" fontId="10" fillId="0" borderId="2" xfId="0" applyFont="1" applyBorder="1" applyAlignment="1">
      <alignment horizontal="justify" vertical="top" wrapText="1"/>
    </xf>
    <xf numFmtId="164" fontId="10" fillId="0" borderId="2" xfId="0" applyFont="1" applyBorder="1" applyAlignment="1">
      <alignment vertical="top" wrapText="1"/>
    </xf>
    <xf numFmtId="164" fontId="13" fillId="0" borderId="28" xfId="0" applyFont="1" applyBorder="1" applyAlignment="1">
      <alignment vertical="top" wrapText="1"/>
    </xf>
    <xf numFmtId="164" fontId="13" fillId="0" borderId="0" xfId="0" applyFont="1" applyBorder="1" applyAlignment="1">
      <alignment vertical="top" wrapText="1"/>
    </xf>
    <xf numFmtId="166" fontId="13" fillId="0" borderId="14" xfId="0" applyNumberFormat="1" applyFont="1" applyBorder="1" applyAlignment="1">
      <alignment horizontal="right" vertical="top" wrapText="1"/>
    </xf>
    <xf numFmtId="164" fontId="10" fillId="0" borderId="39" xfId="0" applyFont="1" applyBorder="1" applyAlignment="1">
      <alignment vertical="top" wrapText="1"/>
    </xf>
    <xf numFmtId="164" fontId="10" fillId="0" borderId="13" xfId="0" applyFont="1" applyBorder="1" applyAlignment="1">
      <alignment horizontal="justify" vertical="top" wrapText="1"/>
    </xf>
    <xf numFmtId="164" fontId="10" fillId="0" borderId="18" xfId="0" applyFont="1" applyBorder="1" applyAlignment="1">
      <alignment horizontal="justify" vertical="top" wrapText="1"/>
    </xf>
    <xf numFmtId="164" fontId="13" fillId="0" borderId="2" xfId="0" applyFont="1" applyBorder="1" applyAlignment="1">
      <alignment horizontal="right" vertical="top" wrapText="1"/>
    </xf>
    <xf numFmtId="164" fontId="13" fillId="0" borderId="19" xfId="0" applyFont="1" applyBorder="1" applyAlignment="1">
      <alignment vertical="top" wrapText="1"/>
    </xf>
    <xf numFmtId="166" fontId="13" fillId="0" borderId="2" xfId="0" applyNumberFormat="1" applyFont="1" applyBorder="1" applyAlignment="1">
      <alignment horizontal="right" vertical="top" wrapText="1"/>
    </xf>
    <xf numFmtId="164" fontId="13" fillId="0" borderId="17" xfId="0" applyFont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838200</xdr:colOff>
      <xdr:row>6</xdr:row>
      <xdr:rowOff>152400</xdr:rowOff>
    </xdr:from>
    <xdr:to>
      <xdr:col>11</xdr:col>
      <xdr:colOff>190500</xdr:colOff>
      <xdr:row>30</xdr:row>
      <xdr:rowOff>104775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24000"/>
          <a:ext cx="6515100" cy="533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5">
      <selection activeCell="B27" sqref="B27"/>
    </sheetView>
  </sheetViews>
  <sheetFormatPr defaultColWidth="9.140625" defaultRowHeight="12.75"/>
  <cols>
    <col min="1" max="1" width="11.00390625" style="0" customWidth="1"/>
    <col min="2" max="2" width="13.421875" style="1" customWidth="1"/>
    <col min="3" max="3" width="36.00390625" style="0" customWidth="1"/>
    <col min="4" max="4" width="5.421875" style="0" customWidth="1"/>
    <col min="5" max="5" width="13.7109375" style="2" customWidth="1"/>
    <col min="6" max="6" width="9.00390625" style="1" customWidth="1"/>
    <col min="7" max="7" width="11.421875" style="1" customWidth="1"/>
    <col min="8" max="8" width="8.00390625" style="1" customWidth="1"/>
    <col min="9" max="9" width="7.57421875" style="1" customWidth="1"/>
    <col min="10" max="10" width="7.8515625" style="1" customWidth="1"/>
    <col min="11" max="11" width="8.421875" style="1" customWidth="1"/>
    <col min="12" max="13" width="9.140625" style="1" customWidth="1"/>
    <col min="14" max="14" width="11.28125" style="1" customWidth="1"/>
    <col min="15" max="15" width="10.140625" style="1" customWidth="1"/>
    <col min="16" max="18" width="12.57421875" style="1" customWidth="1"/>
  </cols>
  <sheetData>
    <row r="1" spans="5:18" ht="15.75"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15.75">
      <c r="A2" s="4" t="s">
        <v>1</v>
      </c>
      <c r="B2" s="4"/>
      <c r="C2" s="4"/>
      <c r="D2" s="5"/>
      <c r="E2" s="6" t="s">
        <v>2</v>
      </c>
      <c r="F2" s="7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7" t="s">
        <v>12</v>
      </c>
      <c r="P2" s="8" t="s">
        <v>13</v>
      </c>
      <c r="Q2" s="8" t="s">
        <v>14</v>
      </c>
      <c r="R2" s="9" t="s">
        <v>15</v>
      </c>
    </row>
    <row r="3" spans="1:18" ht="25.5">
      <c r="A3" s="10" t="s">
        <v>16</v>
      </c>
      <c r="B3" s="11" t="s">
        <v>17</v>
      </c>
      <c r="C3" s="12" t="s">
        <v>18</v>
      </c>
      <c r="D3" s="13"/>
      <c r="E3" s="14" t="s">
        <v>19</v>
      </c>
      <c r="F3" s="15">
        <v>31</v>
      </c>
      <c r="G3" s="15">
        <v>29</v>
      </c>
      <c r="H3" s="15">
        <v>31</v>
      </c>
      <c r="I3" s="15">
        <v>30</v>
      </c>
      <c r="J3" s="15">
        <v>31</v>
      </c>
      <c r="K3" s="15">
        <v>30</v>
      </c>
      <c r="L3" s="15">
        <v>31</v>
      </c>
      <c r="M3" s="15">
        <v>31</v>
      </c>
      <c r="N3" s="15">
        <v>30</v>
      </c>
      <c r="O3" s="15">
        <v>31</v>
      </c>
      <c r="P3" s="15">
        <v>30</v>
      </c>
      <c r="Q3" s="15">
        <v>31</v>
      </c>
      <c r="R3" s="16">
        <f>SUM(F3:Q3)</f>
        <v>366</v>
      </c>
    </row>
    <row r="4" spans="1:18" ht="12.75">
      <c r="A4" s="17">
        <v>42370</v>
      </c>
      <c r="B4" s="18" t="s">
        <v>20</v>
      </c>
      <c r="C4" s="19" t="s">
        <v>21</v>
      </c>
      <c r="D4" s="20"/>
      <c r="E4" s="14" t="s">
        <v>22</v>
      </c>
      <c r="F4" s="15">
        <v>1</v>
      </c>
      <c r="G4" s="15">
        <v>3</v>
      </c>
      <c r="H4" s="15">
        <v>0</v>
      </c>
      <c r="I4" s="15">
        <v>3</v>
      </c>
      <c r="J4" s="15">
        <v>1</v>
      </c>
      <c r="K4" s="15">
        <v>3</v>
      </c>
      <c r="L4" s="15">
        <v>0</v>
      </c>
      <c r="M4" s="15">
        <v>0</v>
      </c>
      <c r="N4" s="15">
        <v>1</v>
      </c>
      <c r="O4" s="15">
        <v>2</v>
      </c>
      <c r="P4" s="15">
        <v>1</v>
      </c>
      <c r="Q4" s="15">
        <v>4</v>
      </c>
      <c r="R4" s="16">
        <f>SUM(F4:Q4)</f>
        <v>19</v>
      </c>
    </row>
    <row r="5" spans="1:18" ht="25.5">
      <c r="A5" s="17">
        <v>42408</v>
      </c>
      <c r="B5" s="21" t="s">
        <v>23</v>
      </c>
      <c r="C5" s="19" t="s">
        <v>24</v>
      </c>
      <c r="D5" s="20"/>
      <c r="E5" s="14" t="s">
        <v>25</v>
      </c>
      <c r="F5" s="15">
        <v>5</v>
      </c>
      <c r="G5" s="15">
        <v>4</v>
      </c>
      <c r="H5" s="15">
        <v>4</v>
      </c>
      <c r="I5" s="15">
        <v>4</v>
      </c>
      <c r="J5" s="15">
        <v>5</v>
      </c>
      <c r="K5" s="15">
        <v>4</v>
      </c>
      <c r="L5" s="15">
        <v>4</v>
      </c>
      <c r="M5" s="15">
        <v>5</v>
      </c>
      <c r="N5" s="15">
        <v>4</v>
      </c>
      <c r="O5" s="15">
        <v>5</v>
      </c>
      <c r="P5" s="15">
        <v>4</v>
      </c>
      <c r="Q5" s="15">
        <v>4</v>
      </c>
      <c r="R5" s="16">
        <f>SUM(F5:Q5)</f>
        <v>52</v>
      </c>
    </row>
    <row r="6" spans="1:18" ht="12.75">
      <c r="A6" s="22">
        <v>42409</v>
      </c>
      <c r="B6" s="18" t="s">
        <v>26</v>
      </c>
      <c r="C6" s="23" t="s">
        <v>24</v>
      </c>
      <c r="D6" s="20"/>
      <c r="E6" s="14" t="s">
        <v>27</v>
      </c>
      <c r="F6" s="15">
        <v>5</v>
      </c>
      <c r="G6" s="15">
        <v>4</v>
      </c>
      <c r="H6" s="15">
        <v>5</v>
      </c>
      <c r="I6" s="15">
        <v>4</v>
      </c>
      <c r="J6" s="15">
        <v>5</v>
      </c>
      <c r="K6" s="15">
        <v>4</v>
      </c>
      <c r="L6" s="15">
        <v>4</v>
      </c>
      <c r="M6" s="15">
        <v>5</v>
      </c>
      <c r="N6" s="15">
        <v>4</v>
      </c>
      <c r="O6" s="15">
        <v>4</v>
      </c>
      <c r="P6" s="15">
        <v>5</v>
      </c>
      <c r="Q6" s="15">
        <v>4</v>
      </c>
      <c r="R6" s="16">
        <f>SUM(F6:Q6)</f>
        <v>53</v>
      </c>
    </row>
    <row r="7" spans="1:19" ht="12.75">
      <c r="A7" s="22">
        <v>42410</v>
      </c>
      <c r="B7" s="18" t="s">
        <v>28</v>
      </c>
      <c r="C7" s="23" t="s">
        <v>29</v>
      </c>
      <c r="D7" s="20"/>
      <c r="E7" s="14" t="s">
        <v>30</v>
      </c>
      <c r="F7" s="15">
        <v>12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8</v>
      </c>
      <c r="M7" s="15">
        <v>0</v>
      </c>
      <c r="N7" s="15">
        <v>0</v>
      </c>
      <c r="O7" s="15">
        <v>0</v>
      </c>
      <c r="P7" s="15">
        <v>0</v>
      </c>
      <c r="Q7" s="15">
        <v>10</v>
      </c>
      <c r="R7" s="16">
        <f>SUM(F7:Q7)</f>
        <v>30</v>
      </c>
      <c r="S7" s="24"/>
    </row>
    <row r="8" spans="1:19" ht="12.75">
      <c r="A8" s="22">
        <v>42447</v>
      </c>
      <c r="B8" s="18" t="s">
        <v>31</v>
      </c>
      <c r="C8" s="23" t="s">
        <v>32</v>
      </c>
      <c r="D8" s="20"/>
      <c r="E8" s="14" t="s">
        <v>33</v>
      </c>
      <c r="F8" s="15">
        <f>F3-F4-F5-F6-F7</f>
        <v>8</v>
      </c>
      <c r="G8" s="15">
        <f>G3-G4-G5-G6-G7</f>
        <v>18</v>
      </c>
      <c r="H8" s="15">
        <f>H3-H4-H5-H6-H7</f>
        <v>22</v>
      </c>
      <c r="I8" s="15">
        <f>I3-I4-I5-I6-I7</f>
        <v>19</v>
      </c>
      <c r="J8" s="15">
        <f>J3-J4-J5-J6-J7</f>
        <v>20</v>
      </c>
      <c r="K8" s="15">
        <f>K3-K4-K5-K6-K7</f>
        <v>19</v>
      </c>
      <c r="L8" s="15">
        <f>L3-L4-L5-L6-L7</f>
        <v>15</v>
      </c>
      <c r="M8" s="15">
        <f>M3-M4-M5-M6-M7</f>
        <v>21</v>
      </c>
      <c r="N8" s="15">
        <f>N3-N4-N5-N6-N7</f>
        <v>21</v>
      </c>
      <c r="O8" s="15">
        <f>O3-O4-O5-O6-O7</f>
        <v>20</v>
      </c>
      <c r="P8" s="15">
        <f>P3-P4-P5-P6-P7</f>
        <v>20</v>
      </c>
      <c r="Q8" s="15">
        <f>Q3-Q4-Q5-Q6-Q7</f>
        <v>9</v>
      </c>
      <c r="R8" s="16">
        <f>SUM(F8:Q8)</f>
        <v>212</v>
      </c>
      <c r="S8" s="24"/>
    </row>
    <row r="9" spans="1:18" ht="12.75">
      <c r="A9" s="17">
        <v>42481</v>
      </c>
      <c r="B9" s="21" t="s">
        <v>34</v>
      </c>
      <c r="C9" s="19" t="s">
        <v>35</v>
      </c>
      <c r="D9" s="25"/>
      <c r="E9" s="14" t="s">
        <v>36</v>
      </c>
      <c r="F9" s="15">
        <v>8</v>
      </c>
      <c r="G9" s="15">
        <v>8</v>
      </c>
      <c r="H9" s="15">
        <v>8</v>
      </c>
      <c r="I9" s="15">
        <v>8</v>
      </c>
      <c r="J9" s="15">
        <v>8</v>
      </c>
      <c r="K9" s="15">
        <v>8</v>
      </c>
      <c r="L9" s="15">
        <v>8</v>
      </c>
      <c r="M9" s="15">
        <v>8</v>
      </c>
      <c r="N9" s="15">
        <v>8</v>
      </c>
      <c r="O9" s="15">
        <v>8</v>
      </c>
      <c r="P9" s="15">
        <v>8</v>
      </c>
      <c r="Q9" s="15">
        <v>8</v>
      </c>
      <c r="R9" s="16">
        <v>8</v>
      </c>
    </row>
    <row r="10" spans="1:18" ht="12.75">
      <c r="A10" s="17">
        <v>42125</v>
      </c>
      <c r="B10" s="21" t="s">
        <v>37</v>
      </c>
      <c r="C10" s="19" t="s">
        <v>38</v>
      </c>
      <c r="D10" s="25"/>
      <c r="E10" s="26" t="s">
        <v>39</v>
      </c>
      <c r="F10" s="27">
        <f>F8*F9</f>
        <v>64</v>
      </c>
      <c r="G10" s="27">
        <f>G8*G9</f>
        <v>144</v>
      </c>
      <c r="H10" s="27">
        <f>H8*H9</f>
        <v>176</v>
      </c>
      <c r="I10" s="27">
        <f>I8*I9</f>
        <v>152</v>
      </c>
      <c r="J10" s="27">
        <f>J8*J9</f>
        <v>160</v>
      </c>
      <c r="K10" s="27">
        <f>K8*K9</f>
        <v>152</v>
      </c>
      <c r="L10" s="27">
        <f>L8*L9</f>
        <v>120</v>
      </c>
      <c r="M10" s="27">
        <f>M8*M9</f>
        <v>168</v>
      </c>
      <c r="N10" s="27">
        <f>N8*N9</f>
        <v>168</v>
      </c>
      <c r="O10" s="27">
        <f>O8*O9</f>
        <v>160</v>
      </c>
      <c r="P10" s="27">
        <f>P8*P9</f>
        <v>160</v>
      </c>
      <c r="Q10" s="27">
        <f>Q8*Q9</f>
        <v>72</v>
      </c>
      <c r="R10" s="28">
        <f>R8*R9</f>
        <v>1696</v>
      </c>
    </row>
    <row r="11" spans="1:19" ht="12.75">
      <c r="A11" s="17">
        <v>42516</v>
      </c>
      <c r="B11" s="21" t="s">
        <v>37</v>
      </c>
      <c r="C11" s="19" t="s">
        <v>40</v>
      </c>
      <c r="D11" s="29"/>
      <c r="E11" s="30"/>
      <c r="S11" s="24"/>
    </row>
    <row r="12" spans="1:18" ht="25.5">
      <c r="A12" s="17">
        <v>42534</v>
      </c>
      <c r="B12" s="21" t="s">
        <v>23</v>
      </c>
      <c r="C12" s="19" t="s">
        <v>41</v>
      </c>
      <c r="D12" s="20"/>
      <c r="E12" s="6" t="s">
        <v>42</v>
      </c>
      <c r="F12" s="7" t="s">
        <v>3</v>
      </c>
      <c r="G12" s="8" t="s">
        <v>4</v>
      </c>
      <c r="H12" s="8" t="s">
        <v>5</v>
      </c>
      <c r="I12" s="8" t="s">
        <v>6</v>
      </c>
      <c r="J12" s="8" t="s">
        <v>7</v>
      </c>
      <c r="K12" s="8" t="s">
        <v>8</v>
      </c>
      <c r="L12" s="8" t="s">
        <v>9</v>
      </c>
      <c r="M12" s="8" t="s">
        <v>10</v>
      </c>
      <c r="N12" s="8" t="s">
        <v>11</v>
      </c>
      <c r="O12" s="7" t="s">
        <v>12</v>
      </c>
      <c r="P12" s="8" t="s">
        <v>13</v>
      </c>
      <c r="Q12" s="8" t="s">
        <v>14</v>
      </c>
      <c r="R12" s="9" t="s">
        <v>15</v>
      </c>
    </row>
    <row r="13" spans="1:18" ht="12.75">
      <c r="A13" s="17">
        <v>42620</v>
      </c>
      <c r="B13" s="18" t="s">
        <v>28</v>
      </c>
      <c r="C13" s="19" t="s">
        <v>43</v>
      </c>
      <c r="D13" s="20"/>
      <c r="E13" s="14" t="s">
        <v>19</v>
      </c>
      <c r="F13" s="15">
        <v>31</v>
      </c>
      <c r="G13" s="15">
        <v>29</v>
      </c>
      <c r="H13" s="15">
        <v>31</v>
      </c>
      <c r="I13" s="15">
        <v>30</v>
      </c>
      <c r="J13" s="15">
        <v>31</v>
      </c>
      <c r="K13" s="15">
        <v>30</v>
      </c>
      <c r="L13" s="15">
        <v>31</v>
      </c>
      <c r="M13" s="15">
        <v>31</v>
      </c>
      <c r="N13" s="15">
        <v>30</v>
      </c>
      <c r="O13" s="15">
        <v>31</v>
      </c>
      <c r="P13" s="15">
        <v>30</v>
      </c>
      <c r="Q13" s="15">
        <v>31</v>
      </c>
      <c r="R13" s="16">
        <f>SUM(F13:Q13)</f>
        <v>366</v>
      </c>
    </row>
    <row r="14" spans="1:18" ht="12.75">
      <c r="A14" s="17">
        <v>42655</v>
      </c>
      <c r="B14" s="18" t="s">
        <v>28</v>
      </c>
      <c r="C14" s="23" t="s">
        <v>44</v>
      </c>
      <c r="D14" s="20"/>
      <c r="E14" s="14" t="s">
        <v>22</v>
      </c>
      <c r="F14" s="15">
        <v>1</v>
      </c>
      <c r="G14" s="15">
        <v>3</v>
      </c>
      <c r="H14" s="15">
        <v>0</v>
      </c>
      <c r="I14" s="15">
        <v>3</v>
      </c>
      <c r="J14" s="15">
        <v>1</v>
      </c>
      <c r="K14" s="15">
        <v>3</v>
      </c>
      <c r="L14" s="15">
        <v>0</v>
      </c>
      <c r="M14" s="15">
        <v>0</v>
      </c>
      <c r="N14" s="15">
        <v>1</v>
      </c>
      <c r="O14" s="15">
        <v>2</v>
      </c>
      <c r="P14" s="15">
        <v>1</v>
      </c>
      <c r="Q14" s="15">
        <v>4</v>
      </c>
      <c r="R14" s="16">
        <f>SUM(F14:Q14)</f>
        <v>19</v>
      </c>
    </row>
    <row r="15" spans="1:18" ht="12.75">
      <c r="A15" s="22">
        <v>42670</v>
      </c>
      <c r="B15" s="21" t="s">
        <v>37</v>
      </c>
      <c r="C15" s="23" t="s">
        <v>45</v>
      </c>
      <c r="D15" s="20"/>
      <c r="E15" s="14" t="s">
        <v>25</v>
      </c>
      <c r="F15" s="15">
        <v>5</v>
      </c>
      <c r="G15" s="15">
        <v>4</v>
      </c>
      <c r="H15" s="15">
        <v>4</v>
      </c>
      <c r="I15" s="15">
        <v>4</v>
      </c>
      <c r="J15" s="15">
        <v>5</v>
      </c>
      <c r="K15" s="15">
        <v>4</v>
      </c>
      <c r="L15" s="15">
        <v>4</v>
      </c>
      <c r="M15" s="15">
        <v>5</v>
      </c>
      <c r="N15" s="15">
        <v>4</v>
      </c>
      <c r="O15" s="15">
        <v>5</v>
      </c>
      <c r="P15" s="15">
        <v>4</v>
      </c>
      <c r="Q15" s="15">
        <v>4</v>
      </c>
      <c r="R15" s="16">
        <f>SUM(F15:Q15)</f>
        <v>52</v>
      </c>
    </row>
    <row r="16" spans="1:18" ht="12.75">
      <c r="A16" s="22">
        <v>42676</v>
      </c>
      <c r="B16" s="18" t="s">
        <v>28</v>
      </c>
      <c r="C16" s="23" t="s">
        <v>46</v>
      </c>
      <c r="D16" s="20"/>
      <c r="E16" s="14" t="s">
        <v>27</v>
      </c>
      <c r="F16" s="15">
        <v>4</v>
      </c>
      <c r="G16" s="15">
        <v>4</v>
      </c>
      <c r="H16" s="15">
        <v>5</v>
      </c>
      <c r="I16" s="15">
        <v>4</v>
      </c>
      <c r="J16" s="15">
        <v>5</v>
      </c>
      <c r="K16" s="15">
        <v>4</v>
      </c>
      <c r="L16" s="15">
        <v>4</v>
      </c>
      <c r="M16" s="15">
        <v>5</v>
      </c>
      <c r="N16" s="15">
        <v>4</v>
      </c>
      <c r="O16" s="15">
        <v>4</v>
      </c>
      <c r="P16" s="15">
        <v>5</v>
      </c>
      <c r="Q16" s="15">
        <v>4</v>
      </c>
      <c r="R16" s="16">
        <f>SUM(F16:Q16)</f>
        <v>52</v>
      </c>
    </row>
    <row r="17" spans="1:18" ht="12.75">
      <c r="A17" s="22">
        <v>42689</v>
      </c>
      <c r="B17" s="18" t="s">
        <v>26</v>
      </c>
      <c r="C17" s="23" t="s">
        <v>47</v>
      </c>
      <c r="D17" s="20"/>
      <c r="E17" s="14" t="s">
        <v>30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5</v>
      </c>
      <c r="P17" s="15">
        <v>0</v>
      </c>
      <c r="Q17" s="15">
        <v>0</v>
      </c>
      <c r="R17" s="16">
        <f>SUM(F17:Q17)</f>
        <v>5</v>
      </c>
    </row>
    <row r="18" spans="1:18" ht="25.5">
      <c r="A18" s="22">
        <v>42712</v>
      </c>
      <c r="B18" s="21" t="s">
        <v>37</v>
      </c>
      <c r="C18" s="23" t="s">
        <v>48</v>
      </c>
      <c r="D18" s="20"/>
      <c r="E18" s="14" t="s">
        <v>33</v>
      </c>
      <c r="F18" s="15">
        <f>F13-F14-F15-F16-F17</f>
        <v>21</v>
      </c>
      <c r="G18" s="15">
        <f>G13-G14-G15-G16-G17</f>
        <v>18</v>
      </c>
      <c r="H18" s="15">
        <f>H13-H14-H15-H16-H17</f>
        <v>22</v>
      </c>
      <c r="I18" s="15">
        <f>I13-I14-I15-I16-I17</f>
        <v>19</v>
      </c>
      <c r="J18" s="15">
        <f>J13-J14-J15-J16-J17</f>
        <v>20</v>
      </c>
      <c r="K18" s="15">
        <f>K13-K14-K15-K16-K17</f>
        <v>19</v>
      </c>
      <c r="L18" s="15">
        <f>L13-L14-L15-L16-L17</f>
        <v>23</v>
      </c>
      <c r="M18" s="15">
        <f>M13-M14-M15-M16-M17</f>
        <v>21</v>
      </c>
      <c r="N18" s="15">
        <f>N13-N14-N15-N16-N17</f>
        <v>21</v>
      </c>
      <c r="O18" s="15">
        <f>O13-O14-O15-O16-O17</f>
        <v>15</v>
      </c>
      <c r="P18" s="15">
        <f>P13-P14-P15-P16-P17</f>
        <v>20</v>
      </c>
      <c r="Q18" s="15">
        <f>Q13-Q14-Q15-Q16-Q17</f>
        <v>19</v>
      </c>
      <c r="R18" s="16">
        <f>SUM(F18:Q18)</f>
        <v>238</v>
      </c>
    </row>
    <row r="19" spans="1:18" ht="12.75">
      <c r="A19" s="22"/>
      <c r="B19" s="18"/>
      <c r="C19" s="23"/>
      <c r="E19" s="14" t="s">
        <v>36</v>
      </c>
      <c r="F19" s="15">
        <v>8</v>
      </c>
      <c r="G19" s="15">
        <v>8</v>
      </c>
      <c r="H19" s="15">
        <v>8</v>
      </c>
      <c r="I19" s="15">
        <v>8</v>
      </c>
      <c r="J19" s="15">
        <v>8</v>
      </c>
      <c r="K19" s="15">
        <v>8</v>
      </c>
      <c r="L19" s="15">
        <v>8</v>
      </c>
      <c r="M19" s="15">
        <v>8</v>
      </c>
      <c r="N19" s="15">
        <v>8</v>
      </c>
      <c r="O19" s="15">
        <v>8</v>
      </c>
      <c r="P19" s="15">
        <v>8</v>
      </c>
      <c r="Q19" s="15">
        <v>8</v>
      </c>
      <c r="R19" s="16">
        <v>8</v>
      </c>
    </row>
    <row r="20" spans="5:18" ht="12.75">
      <c r="E20" s="26" t="s">
        <v>39</v>
      </c>
      <c r="F20" s="27">
        <f>F18*F19</f>
        <v>168</v>
      </c>
      <c r="G20" s="27">
        <f>G18*G19</f>
        <v>144</v>
      </c>
      <c r="H20" s="27">
        <f>H18*H19</f>
        <v>176</v>
      </c>
      <c r="I20" s="27">
        <f>I18*I19</f>
        <v>152</v>
      </c>
      <c r="J20" s="27">
        <f>J18*J19</f>
        <v>160</v>
      </c>
      <c r="K20" s="27">
        <f>K18*K19</f>
        <v>152</v>
      </c>
      <c r="L20" s="27">
        <f>L18*L19</f>
        <v>184</v>
      </c>
      <c r="M20" s="27">
        <f>M18*M19</f>
        <v>168</v>
      </c>
      <c r="N20" s="27">
        <f>N18*N19</f>
        <v>168</v>
      </c>
      <c r="O20" s="27">
        <f>O18*O19</f>
        <v>120</v>
      </c>
      <c r="P20" s="27">
        <f>P18*P19</f>
        <v>160</v>
      </c>
      <c r="Q20" s="27">
        <f>Q18*Q19</f>
        <v>152</v>
      </c>
      <c r="R20" s="28">
        <f>R18*R19</f>
        <v>1904</v>
      </c>
    </row>
    <row r="21" spans="1:3" ht="15.75">
      <c r="A21" s="31" t="s">
        <v>49</v>
      </c>
      <c r="B21" s="31"/>
      <c r="C21" s="31"/>
    </row>
    <row r="22" spans="5:18" ht="12.75">
      <c r="E22" s="6" t="s">
        <v>50</v>
      </c>
      <c r="F22" s="7" t="s">
        <v>3</v>
      </c>
      <c r="G22" s="8" t="s">
        <v>4</v>
      </c>
      <c r="H22" s="8" t="s">
        <v>5</v>
      </c>
      <c r="I22" s="8" t="s">
        <v>6</v>
      </c>
      <c r="J22" s="8" t="s">
        <v>7</v>
      </c>
      <c r="K22" s="8" t="s">
        <v>8</v>
      </c>
      <c r="L22" s="8" t="s">
        <v>9</v>
      </c>
      <c r="M22" s="8" t="s">
        <v>10</v>
      </c>
      <c r="N22" s="8" t="s">
        <v>11</v>
      </c>
      <c r="O22" s="7" t="s">
        <v>12</v>
      </c>
      <c r="P22" s="8" t="s">
        <v>13</v>
      </c>
      <c r="Q22" s="8" t="s">
        <v>14</v>
      </c>
      <c r="R22" s="9" t="s">
        <v>15</v>
      </c>
    </row>
    <row r="23" spans="1:18" ht="12.75">
      <c r="A23" s="32" t="s">
        <v>51</v>
      </c>
      <c r="B23" s="33" t="s">
        <v>52</v>
      </c>
      <c r="C23" s="33" t="s">
        <v>53</v>
      </c>
      <c r="E23" s="14" t="s">
        <v>19</v>
      </c>
      <c r="F23" s="15">
        <v>31</v>
      </c>
      <c r="G23" s="15">
        <v>28</v>
      </c>
      <c r="H23" s="15">
        <v>31</v>
      </c>
      <c r="I23" s="15">
        <v>30</v>
      </c>
      <c r="J23" s="15">
        <v>31</v>
      </c>
      <c r="K23" s="15">
        <v>30</v>
      </c>
      <c r="L23" s="15">
        <v>31</v>
      </c>
      <c r="M23" s="15">
        <v>31</v>
      </c>
      <c r="N23" s="15">
        <v>30</v>
      </c>
      <c r="O23" s="15">
        <v>31</v>
      </c>
      <c r="P23" s="15">
        <v>30</v>
      </c>
      <c r="Q23" s="15">
        <v>31</v>
      </c>
      <c r="R23" s="16">
        <f>SUM(F23:Q23)</f>
        <v>365</v>
      </c>
    </row>
    <row r="24" spans="1:18" ht="25.5">
      <c r="A24" s="34" t="s">
        <v>54</v>
      </c>
      <c r="B24" s="15">
        <v>12</v>
      </c>
      <c r="C24" s="35" t="s">
        <v>55</v>
      </c>
      <c r="E24" s="14" t="s">
        <v>22</v>
      </c>
      <c r="F24" s="15">
        <v>2</v>
      </c>
      <c r="G24" s="15">
        <v>3</v>
      </c>
      <c r="H24" s="15">
        <v>0</v>
      </c>
      <c r="I24" s="15">
        <v>3</v>
      </c>
      <c r="J24" s="15">
        <v>1</v>
      </c>
      <c r="K24" s="15">
        <v>3</v>
      </c>
      <c r="L24" s="15">
        <v>0</v>
      </c>
      <c r="M24" s="15">
        <v>0</v>
      </c>
      <c r="N24" s="15">
        <v>1</v>
      </c>
      <c r="O24" s="15">
        <v>2</v>
      </c>
      <c r="P24" s="15">
        <v>1</v>
      </c>
      <c r="Q24" s="15">
        <v>4</v>
      </c>
      <c r="R24" s="16">
        <f>SUM(F24:Q24)</f>
        <v>20</v>
      </c>
    </row>
    <row r="25" spans="1:18" ht="25.5">
      <c r="A25" s="19" t="s">
        <v>56</v>
      </c>
      <c r="B25" s="15">
        <v>13</v>
      </c>
      <c r="C25" s="35" t="s">
        <v>55</v>
      </c>
      <c r="E25" s="14" t="s">
        <v>25</v>
      </c>
      <c r="F25" s="15">
        <v>5</v>
      </c>
      <c r="G25" s="15">
        <v>4</v>
      </c>
      <c r="H25" s="15">
        <v>4</v>
      </c>
      <c r="I25" s="15">
        <v>4</v>
      </c>
      <c r="J25" s="15">
        <v>5</v>
      </c>
      <c r="K25" s="15">
        <v>4</v>
      </c>
      <c r="L25" s="15">
        <v>4</v>
      </c>
      <c r="M25" s="15">
        <v>5</v>
      </c>
      <c r="N25" s="15">
        <v>4</v>
      </c>
      <c r="O25" s="15">
        <v>5</v>
      </c>
      <c r="P25" s="15">
        <v>4</v>
      </c>
      <c r="Q25" s="15">
        <v>4</v>
      </c>
      <c r="R25" s="16">
        <f>SUM(F25:Q25)</f>
        <v>52</v>
      </c>
    </row>
    <row r="26" spans="1:18" ht="25.5">
      <c r="A26" s="19" t="s">
        <v>57</v>
      </c>
      <c r="B26" s="15">
        <v>5</v>
      </c>
      <c r="C26" s="35" t="s">
        <v>55</v>
      </c>
      <c r="E26" s="14" t="s">
        <v>27</v>
      </c>
      <c r="F26" s="15">
        <v>4</v>
      </c>
      <c r="G26" s="15">
        <v>4</v>
      </c>
      <c r="H26" s="15">
        <v>5</v>
      </c>
      <c r="I26" s="15">
        <v>4</v>
      </c>
      <c r="J26" s="15">
        <v>5</v>
      </c>
      <c r="K26" s="15">
        <v>4</v>
      </c>
      <c r="L26" s="15">
        <v>4</v>
      </c>
      <c r="M26" s="15">
        <v>5</v>
      </c>
      <c r="N26" s="15">
        <v>4</v>
      </c>
      <c r="O26" s="15">
        <v>4</v>
      </c>
      <c r="P26" s="15">
        <v>5</v>
      </c>
      <c r="Q26" s="15">
        <v>4</v>
      </c>
      <c r="R26" s="16">
        <f>SUM(F26:Q26)</f>
        <v>52</v>
      </c>
    </row>
    <row r="27" spans="1:18" ht="25.5">
      <c r="A27" s="19" t="s">
        <v>58</v>
      </c>
      <c r="B27" s="15">
        <v>13</v>
      </c>
      <c r="C27" s="35" t="s">
        <v>59</v>
      </c>
      <c r="E27" s="14" t="s">
        <v>30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5</v>
      </c>
      <c r="R27" s="16">
        <f>SUM(F27:Q27)</f>
        <v>5</v>
      </c>
    </row>
    <row r="28" spans="1:18" ht="25.5">
      <c r="A28" s="19" t="s">
        <v>60</v>
      </c>
      <c r="B28" s="15">
        <v>12</v>
      </c>
      <c r="C28" s="35" t="s">
        <v>59</v>
      </c>
      <c r="E28" s="14" t="s">
        <v>33</v>
      </c>
      <c r="F28" s="15">
        <f>F23-F24-F25-F26-F27</f>
        <v>20</v>
      </c>
      <c r="G28" s="15">
        <f>G23-G24-G25-G26-G27</f>
        <v>17</v>
      </c>
      <c r="H28" s="15">
        <f>H23-H24-H25-H26-H27</f>
        <v>22</v>
      </c>
      <c r="I28" s="15">
        <f>I23-I24-I25-I26-I27</f>
        <v>19</v>
      </c>
      <c r="J28" s="15">
        <f>J23-J24-J25-J26-J27</f>
        <v>20</v>
      </c>
      <c r="K28" s="15">
        <f>K23-K24-K25-K26-K27</f>
        <v>19</v>
      </c>
      <c r="L28" s="15">
        <f>L23-L24-L25-L26-L27</f>
        <v>23</v>
      </c>
      <c r="M28" s="15">
        <f>M23-M24-M25-M26-M27</f>
        <v>21</v>
      </c>
      <c r="N28" s="15">
        <f>N23-N24-N25-N26-N27</f>
        <v>21</v>
      </c>
      <c r="O28" s="15">
        <f>O23-O24-O25-O26-O27</f>
        <v>20</v>
      </c>
      <c r="P28" s="15">
        <f>P23-P24-P25-P26-P27</f>
        <v>20</v>
      </c>
      <c r="Q28" s="15">
        <f>Q23-Q24-Q25-Q26-Q27</f>
        <v>14</v>
      </c>
      <c r="R28" s="16">
        <f>SUM(F28:Q28)</f>
        <v>236</v>
      </c>
    </row>
    <row r="29" spans="1:18" ht="25.5">
      <c r="A29" s="19" t="s">
        <v>61</v>
      </c>
      <c r="B29" s="15">
        <v>5</v>
      </c>
      <c r="C29" s="35" t="s">
        <v>59</v>
      </c>
      <c r="E29" s="14" t="s">
        <v>36</v>
      </c>
      <c r="F29" s="15">
        <v>8</v>
      </c>
      <c r="G29" s="15">
        <v>8</v>
      </c>
      <c r="H29" s="15">
        <v>8</v>
      </c>
      <c r="I29" s="15">
        <v>8</v>
      </c>
      <c r="J29" s="15">
        <v>8</v>
      </c>
      <c r="K29" s="15">
        <v>8</v>
      </c>
      <c r="L29" s="15">
        <v>8</v>
      </c>
      <c r="M29" s="15">
        <v>8</v>
      </c>
      <c r="N29" s="15">
        <v>8</v>
      </c>
      <c r="O29" s="15">
        <v>8</v>
      </c>
      <c r="P29" s="15">
        <v>8</v>
      </c>
      <c r="Q29" s="15">
        <v>8</v>
      </c>
      <c r="R29" s="16">
        <v>8</v>
      </c>
    </row>
    <row r="30" spans="1:18" ht="25.5">
      <c r="A30" s="19" t="s">
        <v>62</v>
      </c>
      <c r="B30" s="15">
        <v>5</v>
      </c>
      <c r="C30" s="35" t="s">
        <v>63</v>
      </c>
      <c r="E30" s="26" t="s">
        <v>39</v>
      </c>
      <c r="F30" s="27">
        <f>F28*F29</f>
        <v>160</v>
      </c>
      <c r="G30" s="27">
        <f>G28*G29</f>
        <v>136</v>
      </c>
      <c r="H30" s="27">
        <f>H28*H29</f>
        <v>176</v>
      </c>
      <c r="I30" s="27">
        <f>I28*I29</f>
        <v>152</v>
      </c>
      <c r="J30" s="27">
        <f>J28*J29</f>
        <v>160</v>
      </c>
      <c r="K30" s="27">
        <f>K28*K29</f>
        <v>152</v>
      </c>
      <c r="L30" s="27">
        <f>L28*L29</f>
        <v>184</v>
      </c>
      <c r="M30" s="27">
        <f>M28*M29</f>
        <v>168</v>
      </c>
      <c r="N30" s="27">
        <f>N28*N29</f>
        <v>168</v>
      </c>
      <c r="O30" s="27">
        <f>O28*O29</f>
        <v>160</v>
      </c>
      <c r="P30" s="27">
        <f>P28*P29</f>
        <v>160</v>
      </c>
      <c r="Q30" s="27">
        <f>Q28*Q29</f>
        <v>112</v>
      </c>
      <c r="R30" s="28">
        <f>R28*R29</f>
        <v>1888</v>
      </c>
    </row>
    <row r="31" spans="1:18" ht="25.5">
      <c r="A31" s="19" t="s">
        <v>64</v>
      </c>
      <c r="B31" s="15">
        <v>14</v>
      </c>
      <c r="C31" s="35" t="s">
        <v>63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6.25">
      <c r="A32" s="19" t="s">
        <v>65</v>
      </c>
      <c r="B32" s="15">
        <v>11</v>
      </c>
      <c r="C32" s="35" t="s">
        <v>63</v>
      </c>
      <c r="E32"/>
      <c r="F32" s="14" t="s">
        <v>66</v>
      </c>
      <c r="G32" s="14"/>
      <c r="H32" s="14"/>
      <c r="I32" s="14"/>
      <c r="J32" s="14"/>
      <c r="K32" s="14"/>
      <c r="L32" s="14"/>
      <c r="M32" s="28">
        <f>R10+R20+R30</f>
        <v>5488</v>
      </c>
      <c r="N32"/>
      <c r="O32" s="14" t="s">
        <v>67</v>
      </c>
      <c r="P32" s="14"/>
      <c r="Q32" s="28">
        <f>R28+R18+R8</f>
        <v>686</v>
      </c>
      <c r="R32"/>
    </row>
    <row r="33" spans="1:3" ht="14.25">
      <c r="A33" s="19"/>
      <c r="B33" s="15">
        <f>SUM(B24:B32)</f>
        <v>90</v>
      </c>
      <c r="C33" s="35"/>
    </row>
    <row r="34" ht="14.25">
      <c r="E34" s="30" t="s">
        <v>68</v>
      </c>
    </row>
  </sheetData>
  <sheetProtection selectLockedCells="1" selectUnlockedCells="1"/>
  <mergeCells count="5">
    <mergeCell ref="E1:R1"/>
    <mergeCell ref="A2:C2"/>
    <mergeCell ref="A21:C21"/>
    <mergeCell ref="F32:L32"/>
    <mergeCell ref="O32:P32"/>
  </mergeCells>
  <printOptions/>
  <pageMargins left="0.2" right="0.2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1"/>
  <sheetViews>
    <sheetView workbookViewId="0" topLeftCell="A49">
      <selection activeCell="A81" sqref="A81"/>
    </sheetView>
  </sheetViews>
  <sheetFormatPr defaultColWidth="9.140625" defaultRowHeight="12.75"/>
  <cols>
    <col min="1" max="1" width="13.00390625" style="0" customWidth="1"/>
    <col min="2" max="2" width="13.57421875" style="0" customWidth="1"/>
    <col min="3" max="3" width="14.7109375" style="0" customWidth="1"/>
    <col min="4" max="4" width="13.28125" style="0" customWidth="1"/>
    <col min="5" max="5" width="8.140625" style="0" customWidth="1"/>
    <col min="6" max="6" width="8.8515625" style="0" customWidth="1"/>
    <col min="7" max="7" width="8.57421875" style="0" customWidth="1"/>
    <col min="9" max="9" width="14.00390625" style="0" customWidth="1"/>
    <col min="10" max="10" width="16.7109375" style="0" customWidth="1"/>
    <col min="14" max="14" width="15.57421875" style="0" customWidth="1"/>
    <col min="15" max="15" width="14.00390625" style="0" customWidth="1"/>
    <col min="16" max="16" width="16.140625" style="0" customWidth="1"/>
    <col min="20" max="20" width="13.140625" style="0" customWidth="1"/>
    <col min="21" max="21" width="14.00390625" style="0" customWidth="1"/>
    <col min="22" max="22" width="16.57421875" style="0" customWidth="1"/>
    <col min="26" max="26" width="13.7109375" style="0" customWidth="1"/>
    <col min="27" max="27" width="14.00390625" style="0" customWidth="1"/>
    <col min="28" max="28" width="18.28125" style="0" customWidth="1"/>
    <col min="31" max="31" width="9.140625" style="36" customWidth="1"/>
    <col min="32" max="32" width="13.8515625" style="36" customWidth="1"/>
    <col min="33" max="33" width="9.140625" style="36" customWidth="1"/>
    <col min="34" max="34" width="17.7109375" style="36" customWidth="1"/>
    <col min="35" max="37" width="9.140625" style="36" customWidth="1"/>
    <col min="38" max="38" width="13.00390625" style="36" customWidth="1"/>
    <col min="39" max="39" width="14.00390625" style="36" customWidth="1"/>
    <col min="40" max="40" width="18.28125" style="36" customWidth="1"/>
    <col min="41" max="43" width="9.140625" style="36" customWidth="1"/>
    <col min="44" max="44" width="13.00390625" style="36" customWidth="1"/>
    <col min="45" max="45" width="14.00390625" style="36" customWidth="1"/>
    <col min="46" max="46" width="16.8515625" style="36" customWidth="1"/>
    <col min="47" max="48" width="9.140625" style="36" customWidth="1"/>
    <col min="50" max="50" width="14.8515625" style="0" customWidth="1"/>
    <col min="51" max="51" width="17.8515625" style="0" customWidth="1"/>
    <col min="52" max="52" width="14.00390625" style="37" customWidth="1"/>
    <col min="53" max="53" width="12.421875" style="0" customWidth="1"/>
    <col min="59" max="59" width="11.57421875" style="0" customWidth="1"/>
  </cols>
  <sheetData>
    <row r="1" spans="1:55" ht="15.75">
      <c r="A1" s="38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AY1" s="40"/>
      <c r="AZ1" s="40"/>
      <c r="BA1" s="40"/>
      <c r="BB1" s="40"/>
      <c r="BC1" s="41"/>
    </row>
    <row r="2" spans="1:55" ht="16.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AY2" s="40"/>
      <c r="AZ2" s="40"/>
      <c r="BA2" s="40"/>
      <c r="BB2" s="40"/>
      <c r="BC2" s="41"/>
    </row>
    <row r="3" spans="1:19" ht="29.25" customHeight="1">
      <c r="A3" s="42" t="s">
        <v>70</v>
      </c>
      <c r="B3" s="42" t="s">
        <v>71</v>
      </c>
      <c r="C3" s="43" t="s">
        <v>72</v>
      </c>
      <c r="D3" s="44" t="s">
        <v>73</v>
      </c>
      <c r="E3" s="44"/>
      <c r="F3" s="44"/>
      <c r="G3" s="42" t="s">
        <v>74</v>
      </c>
      <c r="H3" s="45"/>
      <c r="I3" s="39"/>
      <c r="J3" s="46" t="s">
        <v>71</v>
      </c>
      <c r="K3" s="46" t="s">
        <v>75</v>
      </c>
      <c r="L3" s="47" t="s">
        <v>76</v>
      </c>
      <c r="M3" s="47" t="s">
        <v>72</v>
      </c>
      <c r="N3" s="47" t="s">
        <v>77</v>
      </c>
      <c r="S3" s="48"/>
    </row>
    <row r="4" spans="1:19" ht="51.75" customHeight="1">
      <c r="A4" s="42"/>
      <c r="B4" s="42"/>
      <c r="C4" s="49" t="s">
        <v>78</v>
      </c>
      <c r="D4" s="50" t="s">
        <v>79</v>
      </c>
      <c r="E4" s="51" t="s">
        <v>75</v>
      </c>
      <c r="F4" s="51" t="s">
        <v>80</v>
      </c>
      <c r="G4" s="42"/>
      <c r="H4" s="45"/>
      <c r="I4" s="39"/>
      <c r="J4" s="46"/>
      <c r="K4" s="46"/>
      <c r="L4" s="52" t="s">
        <v>81</v>
      </c>
      <c r="M4" s="52" t="s">
        <v>82</v>
      </c>
      <c r="N4" s="52" t="s">
        <v>83</v>
      </c>
      <c r="S4" s="48"/>
    </row>
    <row r="5" spans="1:19" ht="16.5" customHeight="1">
      <c r="A5" s="53" t="s">
        <v>84</v>
      </c>
      <c r="B5" s="54" t="s">
        <v>85</v>
      </c>
      <c r="C5" s="55">
        <f>Plan1!F9+0</f>
        <v>8</v>
      </c>
      <c r="D5" s="55" t="s">
        <v>86</v>
      </c>
      <c r="E5" s="55">
        <v>14</v>
      </c>
      <c r="F5" s="56">
        <f>E5*8</f>
        <v>112</v>
      </c>
      <c r="G5" s="57">
        <f>(C5-F5)</f>
        <v>-104</v>
      </c>
      <c r="H5" s="58"/>
      <c r="I5" s="39"/>
      <c r="J5" s="59" t="s">
        <v>85</v>
      </c>
      <c r="K5" s="60">
        <f>Plan1!F8+0</f>
        <v>8</v>
      </c>
      <c r="L5" s="61">
        <v>8</v>
      </c>
      <c r="M5" s="62">
        <f>Plan1!F9+0</f>
        <v>8</v>
      </c>
      <c r="N5" s="60">
        <f>(G89+G63+G45+G23+G5)</f>
        <v>-192</v>
      </c>
      <c r="S5" s="63"/>
    </row>
    <row r="6" spans="1:19" ht="16.5" customHeight="1">
      <c r="A6" s="53"/>
      <c r="B6" s="54" t="s">
        <v>4</v>
      </c>
      <c r="C6" s="64">
        <f>Plan1!G9+0</f>
        <v>8</v>
      </c>
      <c r="D6" s="55"/>
      <c r="E6" s="55"/>
      <c r="F6" s="56">
        <f>E6*8</f>
        <v>0</v>
      </c>
      <c r="G6" s="57">
        <f>(C6-F6)</f>
        <v>8</v>
      </c>
      <c r="H6" s="58"/>
      <c r="I6" s="39"/>
      <c r="J6" s="59" t="s">
        <v>4</v>
      </c>
      <c r="K6" s="60">
        <f>Plan1!G8+0</f>
        <v>18</v>
      </c>
      <c r="L6" s="61">
        <v>8</v>
      </c>
      <c r="M6" s="62">
        <f>Plan1!G9+0</f>
        <v>8</v>
      </c>
      <c r="N6" s="60">
        <f>(G90+G64+G46+G24+G6)</f>
        <v>-96</v>
      </c>
      <c r="S6" s="63"/>
    </row>
    <row r="7" spans="1:56" ht="16.5" customHeight="1">
      <c r="A7" s="53"/>
      <c r="B7" s="54" t="s">
        <v>5</v>
      </c>
      <c r="C7" s="55">
        <f>Plan1!H9+0</f>
        <v>8</v>
      </c>
      <c r="D7" s="65"/>
      <c r="E7" s="65"/>
      <c r="F7" s="56">
        <f>E7*8</f>
        <v>0</v>
      </c>
      <c r="G7" s="57">
        <f>(C7-F7)</f>
        <v>8</v>
      </c>
      <c r="H7" s="58"/>
      <c r="I7" s="39"/>
      <c r="J7" s="59" t="s">
        <v>5</v>
      </c>
      <c r="K7" s="60">
        <f>Plan1!H8+0</f>
        <v>22</v>
      </c>
      <c r="L7" s="61">
        <v>8</v>
      </c>
      <c r="M7" s="62">
        <f>Plan1!H9+0</f>
        <v>8</v>
      </c>
      <c r="N7" s="60">
        <f>(G91+G65+G47+G25+G7)</f>
        <v>40</v>
      </c>
      <c r="S7" s="63"/>
      <c r="BD7" s="1"/>
    </row>
    <row r="8" spans="1:19" ht="16.5" customHeight="1">
      <c r="A8" s="53"/>
      <c r="B8" s="54" t="s">
        <v>87</v>
      </c>
      <c r="C8" s="64">
        <f>Plan1!I9+0</f>
        <v>8</v>
      </c>
      <c r="D8" s="55"/>
      <c r="E8" s="55"/>
      <c r="F8" s="56">
        <f>E8*8</f>
        <v>0</v>
      </c>
      <c r="G8" s="57">
        <f>(C8-F8)</f>
        <v>8</v>
      </c>
      <c r="H8" s="58"/>
      <c r="I8" s="39"/>
      <c r="J8" s="59" t="s">
        <v>87</v>
      </c>
      <c r="K8" s="60">
        <f>Plan1!I8+0</f>
        <v>19</v>
      </c>
      <c r="L8" s="61">
        <v>8</v>
      </c>
      <c r="M8" s="62">
        <f>Plan1!I9+0</f>
        <v>8</v>
      </c>
      <c r="N8" s="60">
        <f>(G92+G66+G48+G26+G8)</f>
        <v>40</v>
      </c>
      <c r="S8" s="63"/>
    </row>
    <row r="9" spans="1:19" ht="16.5" customHeight="1">
      <c r="A9" s="53"/>
      <c r="B9" s="54" t="s">
        <v>7</v>
      </c>
      <c r="C9" s="55">
        <f>Plan1!J9+0</f>
        <v>8</v>
      </c>
      <c r="D9" s="65"/>
      <c r="E9" s="65"/>
      <c r="F9" s="56">
        <f>E9*8</f>
        <v>0</v>
      </c>
      <c r="G9" s="57">
        <f>(C9-F9)</f>
        <v>8</v>
      </c>
      <c r="H9" s="58"/>
      <c r="I9" s="39"/>
      <c r="J9" s="59" t="s">
        <v>7</v>
      </c>
      <c r="K9" s="60">
        <f>Plan1!J8+0</f>
        <v>20</v>
      </c>
      <c r="L9" s="61">
        <v>8</v>
      </c>
      <c r="M9" s="62">
        <f>Plan1!J9+0</f>
        <v>8</v>
      </c>
      <c r="N9" s="60">
        <f>(G93+G67+G49+G27+G9)</f>
        <v>40</v>
      </c>
      <c r="S9" s="63"/>
    </row>
    <row r="10" spans="1:19" ht="16.5" customHeight="1">
      <c r="A10" s="53"/>
      <c r="B10" s="54" t="s">
        <v>88</v>
      </c>
      <c r="C10" s="64">
        <f>Plan1!K9+0</f>
        <v>8</v>
      </c>
      <c r="D10" s="55"/>
      <c r="E10" s="55"/>
      <c r="F10" s="56">
        <f>E10*8</f>
        <v>0</v>
      </c>
      <c r="G10" s="57">
        <f>(C10-F10)</f>
        <v>8</v>
      </c>
      <c r="H10" s="58"/>
      <c r="I10" s="39"/>
      <c r="J10" s="59" t="s">
        <v>88</v>
      </c>
      <c r="K10" s="60">
        <f>Plan1!K8+0</f>
        <v>19</v>
      </c>
      <c r="L10" s="61">
        <v>8</v>
      </c>
      <c r="M10" s="62">
        <f>Plan1!K9+0</f>
        <v>8</v>
      </c>
      <c r="N10" s="60">
        <f>(G94+G68+G50+G28+G10)</f>
        <v>-56</v>
      </c>
      <c r="S10" s="63"/>
    </row>
    <row r="11" spans="1:19" ht="16.5" customHeight="1">
      <c r="A11" s="53"/>
      <c r="B11" s="54" t="s">
        <v>9</v>
      </c>
      <c r="C11" s="55">
        <f>Plan1!L9+0</f>
        <v>8</v>
      </c>
      <c r="D11" s="65" t="s">
        <v>89</v>
      </c>
      <c r="E11" s="65">
        <v>15</v>
      </c>
      <c r="F11" s="56">
        <f>E11*8</f>
        <v>120</v>
      </c>
      <c r="G11" s="57">
        <f>(C11-F11)</f>
        <v>-112</v>
      </c>
      <c r="H11" s="58"/>
      <c r="I11" s="39"/>
      <c r="J11" s="59" t="s">
        <v>9</v>
      </c>
      <c r="K11" s="60">
        <f>Plan1!L8+0</f>
        <v>15</v>
      </c>
      <c r="L11" s="61">
        <v>8</v>
      </c>
      <c r="M11" s="62">
        <f>Plan1!L9+0</f>
        <v>8</v>
      </c>
      <c r="N11" s="60">
        <f>(G95+G69+G51+G29+G11)</f>
        <v>-224</v>
      </c>
      <c r="S11" s="63"/>
    </row>
    <row r="12" spans="1:19" ht="16.5" customHeight="1">
      <c r="A12" s="53"/>
      <c r="B12" s="54" t="s">
        <v>10</v>
      </c>
      <c r="C12" s="64">
        <f>Plan1!M9+0</f>
        <v>8</v>
      </c>
      <c r="D12" s="55" t="s">
        <v>90</v>
      </c>
      <c r="E12" s="55">
        <v>4</v>
      </c>
      <c r="F12" s="56">
        <f>E12*8</f>
        <v>32</v>
      </c>
      <c r="G12" s="57">
        <f>(C12-F12)</f>
        <v>-24</v>
      </c>
      <c r="H12" s="58"/>
      <c r="I12" s="39"/>
      <c r="J12" s="59" t="s">
        <v>10</v>
      </c>
      <c r="K12" s="60">
        <f>Plan1!M8+0</f>
        <v>21</v>
      </c>
      <c r="L12" s="61">
        <v>8</v>
      </c>
      <c r="M12" s="62">
        <f>Plan1!M9+0</f>
        <v>8</v>
      </c>
      <c r="N12" s="60">
        <f>(G96+G70+G52+G30+G12)</f>
        <v>8</v>
      </c>
      <c r="S12" s="63"/>
    </row>
    <row r="13" spans="1:19" ht="16.5" customHeight="1">
      <c r="A13" s="53"/>
      <c r="B13" s="54" t="s">
        <v>11</v>
      </c>
      <c r="C13" s="55">
        <f>Plan1!N9+0</f>
        <v>8</v>
      </c>
      <c r="D13" s="65"/>
      <c r="E13" s="65"/>
      <c r="F13" s="56">
        <f>E13*8</f>
        <v>0</v>
      </c>
      <c r="G13" s="57">
        <f>(C13-F13)</f>
        <v>8</v>
      </c>
      <c r="H13" s="58"/>
      <c r="I13" s="39"/>
      <c r="J13" s="59" t="s">
        <v>11</v>
      </c>
      <c r="K13" s="60">
        <f>Plan1!N8+0</f>
        <v>21</v>
      </c>
      <c r="L13" s="61">
        <v>8</v>
      </c>
      <c r="M13" s="62">
        <f>Plan1!N9+0</f>
        <v>8</v>
      </c>
      <c r="N13" s="60">
        <f>(G97+G71+G53+G31+G13)</f>
        <v>-48</v>
      </c>
      <c r="S13" s="63"/>
    </row>
    <row r="14" spans="1:62" ht="16.5" customHeight="1">
      <c r="A14" s="53"/>
      <c r="B14" s="54" t="s">
        <v>91</v>
      </c>
      <c r="C14" s="64">
        <f>Plan1!O9+0</f>
        <v>8</v>
      </c>
      <c r="D14" s="55"/>
      <c r="E14" s="55"/>
      <c r="F14" s="56">
        <f>E14*8</f>
        <v>0</v>
      </c>
      <c r="G14" s="57">
        <f>(C14-F14)</f>
        <v>8</v>
      </c>
      <c r="H14" s="58"/>
      <c r="I14" s="39"/>
      <c r="J14" s="59" t="s">
        <v>91</v>
      </c>
      <c r="K14" s="60">
        <f>Plan1!O8+0</f>
        <v>20</v>
      </c>
      <c r="L14" s="61">
        <v>8</v>
      </c>
      <c r="M14" s="62">
        <f>Plan1!O9+0</f>
        <v>8</v>
      </c>
      <c r="N14" s="60">
        <f>(G98+G72+G54+G32+G14)</f>
        <v>-24</v>
      </c>
      <c r="S14" s="63"/>
      <c r="BE14" s="36"/>
      <c r="BF14" s="36"/>
      <c r="BG14" s="36"/>
      <c r="BH14" s="36"/>
      <c r="BI14" s="36"/>
      <c r="BJ14" s="36"/>
    </row>
    <row r="15" spans="1:62" ht="16.5" customHeight="1">
      <c r="A15" s="53"/>
      <c r="B15" s="54" t="s">
        <v>13</v>
      </c>
      <c r="C15" s="55">
        <f>Plan1!P9+0</f>
        <v>8</v>
      </c>
      <c r="D15" s="65"/>
      <c r="E15" s="65"/>
      <c r="F15" s="56">
        <f>E15*8</f>
        <v>0</v>
      </c>
      <c r="G15" s="57">
        <f>(C15-F15)</f>
        <v>8</v>
      </c>
      <c r="H15" s="58"/>
      <c r="I15" s="39"/>
      <c r="J15" s="59" t="s">
        <v>13</v>
      </c>
      <c r="K15" s="60">
        <f>Plan1!P8+0</f>
        <v>20</v>
      </c>
      <c r="L15" s="61">
        <v>8</v>
      </c>
      <c r="M15" s="62">
        <f>Plan1!P9+0</f>
        <v>8</v>
      </c>
      <c r="N15" s="60">
        <f>(G99+G73+G55+G33+G15)</f>
        <v>-24</v>
      </c>
      <c r="S15" s="63"/>
      <c r="BE15" s="36"/>
      <c r="BF15" s="66"/>
      <c r="BG15" s="36"/>
      <c r="BH15" s="36"/>
      <c r="BI15" s="36"/>
      <c r="BJ15" s="36"/>
    </row>
    <row r="16" spans="1:62" ht="16.5" customHeight="1">
      <c r="A16" s="53"/>
      <c r="B16" s="54" t="s">
        <v>92</v>
      </c>
      <c r="C16" s="64">
        <f>Plan1!Q9+0</f>
        <v>8</v>
      </c>
      <c r="D16" s="55"/>
      <c r="E16" s="55"/>
      <c r="F16" s="56">
        <f>E16*8</f>
        <v>0</v>
      </c>
      <c r="G16" s="57">
        <f>(C16-F16)</f>
        <v>8</v>
      </c>
      <c r="H16" s="58"/>
      <c r="I16" s="39"/>
      <c r="J16" s="59" t="s">
        <v>92</v>
      </c>
      <c r="K16" s="60">
        <f>Plan1!Q8+0</f>
        <v>9</v>
      </c>
      <c r="L16" s="61">
        <v>8</v>
      </c>
      <c r="M16" s="62">
        <f>Plan1!Q9+0</f>
        <v>8</v>
      </c>
      <c r="N16" s="60">
        <f>(G100+G74+G56+G34+G16)</f>
        <v>-152</v>
      </c>
      <c r="S16" s="63"/>
      <c r="BE16" s="36"/>
      <c r="BF16" s="36"/>
      <c r="BG16" s="36"/>
      <c r="BH16" s="36"/>
      <c r="BI16" s="36"/>
      <c r="BJ16" s="36"/>
    </row>
    <row r="17" spans="1:62" ht="16.5">
      <c r="A17" s="67" t="s">
        <v>15</v>
      </c>
      <c r="B17" s="54"/>
      <c r="C17" s="55">
        <f>SUM(C5:C16)</f>
        <v>96</v>
      </c>
      <c r="D17" s="65"/>
      <c r="E17" s="65">
        <f>SUM(E11:E16)</f>
        <v>19</v>
      </c>
      <c r="F17" s="56">
        <f>SUM(F5:F16)</f>
        <v>264</v>
      </c>
      <c r="G17" s="57">
        <f>SUM(G5:G16)</f>
        <v>-168</v>
      </c>
      <c r="H17" s="58"/>
      <c r="I17" s="39"/>
      <c r="J17" s="59" t="s">
        <v>15</v>
      </c>
      <c r="K17" s="68">
        <f>SUM(K5:K16)</f>
        <v>212</v>
      </c>
      <c r="L17" s="69">
        <v>8</v>
      </c>
      <c r="M17" s="70">
        <f>(K17*L17)</f>
        <v>1696</v>
      </c>
      <c r="N17" s="71">
        <f>SUM(N5:N16)</f>
        <v>-688</v>
      </c>
      <c r="S17" s="63"/>
      <c r="BC17" s="66"/>
      <c r="BD17" s="72"/>
      <c r="BE17" s="72"/>
      <c r="BF17" s="66"/>
      <c r="BG17" s="66"/>
      <c r="BH17" s="36"/>
      <c r="BI17" s="36"/>
      <c r="BJ17" s="36"/>
    </row>
    <row r="18" spans="1:62" ht="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73"/>
      <c r="M18" s="39"/>
      <c r="N18" s="39"/>
      <c r="BC18" s="72"/>
      <c r="BD18" s="66"/>
      <c r="BE18" s="72"/>
      <c r="BF18" s="66"/>
      <c r="BG18" s="66"/>
      <c r="BH18" s="36"/>
      <c r="BI18" s="36"/>
      <c r="BJ18" s="36"/>
    </row>
    <row r="19" spans="1:62" ht="16.5" customHeight="1">
      <c r="A19" s="74"/>
      <c r="B19" s="74"/>
      <c r="C19" s="74"/>
      <c r="D19" s="74"/>
      <c r="E19" s="74"/>
      <c r="F19" s="39"/>
      <c r="G19" s="39"/>
      <c r="H19" s="39"/>
      <c r="I19" s="39"/>
      <c r="J19" s="39"/>
      <c r="K19" s="75" t="s">
        <v>93</v>
      </c>
      <c r="L19" s="76"/>
      <c r="M19" s="77"/>
      <c r="N19" s="78">
        <f>G17+G35+G57+G75+G101</f>
        <v>-688</v>
      </c>
      <c r="BC19" s="72"/>
      <c r="BD19" s="66"/>
      <c r="BE19" s="72"/>
      <c r="BF19" s="66"/>
      <c r="BG19" s="66"/>
      <c r="BH19" s="36"/>
      <c r="BI19" s="36"/>
      <c r="BJ19" s="36"/>
    </row>
    <row r="20" spans="7:14" ht="15">
      <c r="G20" s="39"/>
      <c r="H20" s="39"/>
      <c r="I20" s="39"/>
      <c r="J20" s="39"/>
      <c r="K20" s="39"/>
      <c r="L20" s="39"/>
      <c r="M20" s="39"/>
      <c r="N20" s="39"/>
    </row>
    <row r="21" spans="1:62" ht="30" customHeight="1">
      <c r="A21" s="42" t="s">
        <v>70</v>
      </c>
      <c r="B21" s="42" t="s">
        <v>71</v>
      </c>
      <c r="C21" s="43" t="s">
        <v>72</v>
      </c>
      <c r="D21" s="44" t="s">
        <v>73</v>
      </c>
      <c r="E21" s="44"/>
      <c r="F21" s="44"/>
      <c r="G21" s="42" t="s">
        <v>74</v>
      </c>
      <c r="H21" s="79"/>
      <c r="I21" s="39"/>
      <c r="J21" s="39"/>
      <c r="K21" s="39"/>
      <c r="L21" s="39"/>
      <c r="M21" s="39"/>
      <c r="N21" s="39"/>
      <c r="BC21" s="72"/>
      <c r="BD21" s="66"/>
      <c r="BE21" s="72"/>
      <c r="BF21" s="66"/>
      <c r="BG21" s="66"/>
      <c r="BH21" s="36"/>
      <c r="BI21" s="36"/>
      <c r="BJ21" s="36"/>
    </row>
    <row r="22" spans="1:62" ht="45.75">
      <c r="A22" s="42"/>
      <c r="B22" s="42"/>
      <c r="C22" s="49" t="s">
        <v>78</v>
      </c>
      <c r="D22" s="50" t="s">
        <v>79</v>
      </c>
      <c r="E22" s="51" t="s">
        <v>75</v>
      </c>
      <c r="F22" s="51" t="s">
        <v>80</v>
      </c>
      <c r="G22" s="42"/>
      <c r="H22" s="39"/>
      <c r="I22" s="39"/>
      <c r="J22" s="39"/>
      <c r="K22" s="39"/>
      <c r="L22" s="39"/>
      <c r="M22" s="39"/>
      <c r="N22" s="39"/>
      <c r="BC22" s="72"/>
      <c r="BD22" s="66"/>
      <c r="BE22" s="72"/>
      <c r="BF22" s="66"/>
      <c r="BG22" s="66"/>
      <c r="BH22" s="36"/>
      <c r="BI22" s="36"/>
      <c r="BJ22" s="36"/>
    </row>
    <row r="23" spans="1:62" ht="15" customHeight="1">
      <c r="A23" s="53" t="s">
        <v>94</v>
      </c>
      <c r="B23" s="54" t="s">
        <v>85</v>
      </c>
      <c r="C23" s="55">
        <f>Plan1!F9+0</f>
        <v>8</v>
      </c>
      <c r="D23" s="65" t="s">
        <v>95</v>
      </c>
      <c r="E23" s="65">
        <v>3</v>
      </c>
      <c r="F23" s="56">
        <f>E23*8</f>
        <v>24</v>
      </c>
      <c r="G23" s="57">
        <f>(C23-F23)</f>
        <v>-16</v>
      </c>
      <c r="H23" s="39"/>
      <c r="I23" s="39"/>
      <c r="J23" s="39"/>
      <c r="K23" s="39"/>
      <c r="L23" s="39"/>
      <c r="M23" s="39"/>
      <c r="N23" s="39"/>
      <c r="BC23" s="72"/>
      <c r="BD23" s="66"/>
      <c r="BE23" s="72"/>
      <c r="BF23" s="66"/>
      <c r="BG23" s="66"/>
      <c r="BH23" s="36"/>
      <c r="BI23" s="36"/>
      <c r="BJ23" s="36"/>
    </row>
    <row r="24" spans="1:62" ht="15">
      <c r="A24" s="53"/>
      <c r="B24" s="54" t="s">
        <v>4</v>
      </c>
      <c r="C24" s="64">
        <f>Plan1!G9+0</f>
        <v>8</v>
      </c>
      <c r="D24" s="65" t="s">
        <v>90</v>
      </c>
      <c r="E24" s="65">
        <v>5</v>
      </c>
      <c r="F24" s="56">
        <f>E24*8</f>
        <v>40</v>
      </c>
      <c r="G24" s="57">
        <f>(C24-F24)</f>
        <v>-32</v>
      </c>
      <c r="H24" s="39"/>
      <c r="I24" s="39"/>
      <c r="J24" s="39"/>
      <c r="K24" s="39"/>
      <c r="L24" s="39"/>
      <c r="M24" s="39"/>
      <c r="N24" s="39"/>
      <c r="BC24" s="72"/>
      <c r="BD24" s="66"/>
      <c r="BE24" s="72"/>
      <c r="BF24" s="66"/>
      <c r="BG24" s="66"/>
      <c r="BH24" s="36"/>
      <c r="BI24" s="36"/>
      <c r="BJ24" s="36"/>
    </row>
    <row r="25" spans="1:62" ht="15">
      <c r="A25" s="53"/>
      <c r="B25" s="54" t="s">
        <v>5</v>
      </c>
      <c r="C25" s="55">
        <f>Plan1!H9+0</f>
        <v>8</v>
      </c>
      <c r="D25" s="65"/>
      <c r="E25" s="65"/>
      <c r="F25" s="56">
        <f>E25*8</f>
        <v>0</v>
      </c>
      <c r="G25" s="57">
        <f>(C25-F25)</f>
        <v>8</v>
      </c>
      <c r="H25" s="39"/>
      <c r="I25" s="39"/>
      <c r="J25" s="39"/>
      <c r="K25" s="39"/>
      <c r="L25" s="39"/>
      <c r="M25" s="39"/>
      <c r="N25" s="39"/>
      <c r="BC25" s="72"/>
      <c r="BD25" s="66"/>
      <c r="BE25" s="72"/>
      <c r="BF25" s="66"/>
      <c r="BG25" s="66"/>
      <c r="BH25" s="36"/>
      <c r="BI25" s="36"/>
      <c r="BJ25" s="36"/>
    </row>
    <row r="26" spans="1:14" ht="15">
      <c r="A26" s="53"/>
      <c r="B26" s="54" t="s">
        <v>87</v>
      </c>
      <c r="C26" s="64">
        <f>Plan1!I9+0</f>
        <v>8</v>
      </c>
      <c r="D26" s="65"/>
      <c r="E26" s="65"/>
      <c r="F26" s="56">
        <f>E26*8</f>
        <v>0</v>
      </c>
      <c r="G26" s="57">
        <f>(C26-F26)</f>
        <v>8</v>
      </c>
      <c r="H26" s="39"/>
      <c r="I26" s="39"/>
      <c r="J26" s="39"/>
      <c r="K26" s="39"/>
      <c r="L26" s="39"/>
      <c r="M26" s="39"/>
      <c r="N26" s="39"/>
    </row>
    <row r="27" spans="1:14" ht="15">
      <c r="A27" s="53"/>
      <c r="B27" s="54" t="s">
        <v>7</v>
      </c>
      <c r="C27" s="55">
        <f>Plan1!J9+0</f>
        <v>8</v>
      </c>
      <c r="D27" s="65"/>
      <c r="E27" s="65"/>
      <c r="F27" s="56">
        <f>E27*8</f>
        <v>0</v>
      </c>
      <c r="G27" s="57">
        <f>(C27-F27)</f>
        <v>8</v>
      </c>
      <c r="H27" s="39"/>
      <c r="I27" s="39"/>
      <c r="J27" s="39"/>
      <c r="K27" s="39"/>
      <c r="L27" s="39"/>
      <c r="M27" s="39"/>
      <c r="N27" s="39"/>
    </row>
    <row r="28" spans="1:14" ht="15">
      <c r="A28" s="53"/>
      <c r="B28" s="54" t="s">
        <v>88</v>
      </c>
      <c r="C28" s="64">
        <f>Plan1!K9+0</f>
        <v>8</v>
      </c>
      <c r="D28" s="65" t="s">
        <v>96</v>
      </c>
      <c r="E28" s="65">
        <v>12</v>
      </c>
      <c r="F28" s="56">
        <f>E28*8</f>
        <v>96</v>
      </c>
      <c r="G28" s="57">
        <f>(C28-F28)</f>
        <v>-88</v>
      </c>
      <c r="H28" s="39"/>
      <c r="I28" s="39"/>
      <c r="J28" s="39"/>
      <c r="K28" s="39"/>
      <c r="L28" s="39"/>
      <c r="M28" s="39"/>
      <c r="N28" s="39"/>
    </row>
    <row r="29" spans="1:14" ht="15">
      <c r="A29" s="53"/>
      <c r="B29" s="54" t="s">
        <v>9</v>
      </c>
      <c r="C29" s="55">
        <f>Plan1!L9+0</f>
        <v>8</v>
      </c>
      <c r="D29" s="65" t="s">
        <v>97</v>
      </c>
      <c r="E29" s="65">
        <v>2</v>
      </c>
      <c r="F29" s="56">
        <f>E29*8</f>
        <v>16</v>
      </c>
      <c r="G29" s="57">
        <f>(C29-F29)</f>
        <v>-8</v>
      </c>
      <c r="H29" s="39"/>
      <c r="I29" s="39"/>
      <c r="J29" s="39"/>
      <c r="K29" s="39"/>
      <c r="L29" s="39"/>
      <c r="M29" s="39"/>
      <c r="N29" s="39"/>
    </row>
    <row r="30" spans="1:14" ht="15">
      <c r="A30" s="53"/>
      <c r="B30" s="54" t="s">
        <v>10</v>
      </c>
      <c r="C30" s="64">
        <f>Plan1!M9+0</f>
        <v>8</v>
      </c>
      <c r="D30" s="65"/>
      <c r="E30" s="65"/>
      <c r="F30" s="56">
        <f>E30*8</f>
        <v>0</v>
      </c>
      <c r="G30" s="57">
        <f>(C30-F30)</f>
        <v>8</v>
      </c>
      <c r="H30" s="39"/>
      <c r="I30" s="39"/>
      <c r="J30" s="39"/>
      <c r="K30" s="39"/>
      <c r="L30" s="39"/>
      <c r="M30" s="39"/>
      <c r="N30" s="39"/>
    </row>
    <row r="31" spans="1:14" ht="15">
      <c r="A31" s="53"/>
      <c r="B31" s="54" t="s">
        <v>11</v>
      </c>
      <c r="C31" s="55">
        <f>Plan1!N9+0</f>
        <v>8</v>
      </c>
      <c r="D31" s="65"/>
      <c r="E31" s="65"/>
      <c r="F31" s="56">
        <f>E31*8</f>
        <v>0</v>
      </c>
      <c r="G31" s="57">
        <f>(C31-F31)</f>
        <v>8</v>
      </c>
      <c r="H31" s="39"/>
      <c r="I31" s="39"/>
      <c r="J31" s="39"/>
      <c r="K31" s="39"/>
      <c r="L31" s="39"/>
      <c r="M31" s="39"/>
      <c r="N31" s="39"/>
    </row>
    <row r="32" spans="1:14" ht="15">
      <c r="A32" s="53"/>
      <c r="B32" s="54" t="s">
        <v>91</v>
      </c>
      <c r="C32" s="64">
        <f>Plan1!O9+0</f>
        <v>8</v>
      </c>
      <c r="D32" s="65"/>
      <c r="E32" s="65"/>
      <c r="F32" s="56">
        <f>E32*8</f>
        <v>0</v>
      </c>
      <c r="G32" s="57">
        <f>(C32-F32)</f>
        <v>8</v>
      </c>
      <c r="H32" s="39"/>
      <c r="I32" s="39"/>
      <c r="J32" s="39"/>
      <c r="K32" s="39"/>
      <c r="L32" s="39"/>
      <c r="M32" s="39"/>
      <c r="N32" s="39"/>
    </row>
    <row r="33" spans="1:14" ht="15" customHeight="1">
      <c r="A33" s="53"/>
      <c r="B33" s="54" t="s">
        <v>13</v>
      </c>
      <c r="C33" s="55">
        <f>Plan1!P9+0</f>
        <v>8</v>
      </c>
      <c r="D33" s="65"/>
      <c r="E33" s="65"/>
      <c r="F33" s="56">
        <f>E33*8</f>
        <v>0</v>
      </c>
      <c r="G33" s="57">
        <f>(C33-F33)</f>
        <v>8</v>
      </c>
      <c r="H33" s="39"/>
      <c r="I33" s="39"/>
      <c r="J33" s="39"/>
      <c r="K33" s="39"/>
      <c r="L33" s="39"/>
      <c r="M33" s="39"/>
      <c r="N33" s="39"/>
    </row>
    <row r="34" spans="1:14" ht="15">
      <c r="A34" s="53"/>
      <c r="B34" s="54" t="s">
        <v>92</v>
      </c>
      <c r="C34" s="64">
        <f>Plan1!Q9+0</f>
        <v>8</v>
      </c>
      <c r="D34" s="65"/>
      <c r="E34" s="65"/>
      <c r="F34" s="56">
        <f>E34*8</f>
        <v>0</v>
      </c>
      <c r="G34" s="57">
        <f>(C34-F34)</f>
        <v>8</v>
      </c>
      <c r="H34" s="39"/>
      <c r="I34" s="39"/>
      <c r="J34" s="39"/>
      <c r="K34" s="39"/>
      <c r="L34" s="39"/>
      <c r="M34" s="39"/>
      <c r="N34" s="39"/>
    </row>
    <row r="35" spans="1:14" ht="15">
      <c r="A35" s="67" t="s">
        <v>15</v>
      </c>
      <c r="B35" s="54"/>
      <c r="C35" s="55">
        <f>SUM(C23:C34)</f>
        <v>96</v>
      </c>
      <c r="D35" s="65"/>
      <c r="E35" s="65">
        <f>SUM(E23:E34)</f>
        <v>22</v>
      </c>
      <c r="F35" s="56">
        <f>SUM(F23:F34)</f>
        <v>176</v>
      </c>
      <c r="G35" s="57">
        <f>SUM(G23:G34)</f>
        <v>-80</v>
      </c>
      <c r="H35" s="39"/>
      <c r="I35" s="39"/>
      <c r="J35" s="39"/>
      <c r="K35" s="39"/>
      <c r="L35" s="39"/>
      <c r="M35" s="39"/>
      <c r="N35" s="39"/>
    </row>
    <row r="36" spans="1:14" ht="14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4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4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4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4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4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30" customHeight="1">
      <c r="A43" s="42" t="s">
        <v>70</v>
      </c>
      <c r="B43" s="42" t="s">
        <v>71</v>
      </c>
      <c r="C43" s="43" t="s">
        <v>72</v>
      </c>
      <c r="D43" s="44" t="s">
        <v>73</v>
      </c>
      <c r="E43" s="44"/>
      <c r="F43" s="44"/>
      <c r="G43" s="42" t="s">
        <v>74</v>
      </c>
      <c r="H43" s="39"/>
      <c r="I43" s="39"/>
      <c r="J43" s="39"/>
      <c r="K43" s="39"/>
      <c r="L43" s="39"/>
      <c r="M43" s="39"/>
      <c r="N43" s="39"/>
    </row>
    <row r="44" spans="1:14" ht="45.75">
      <c r="A44" s="42"/>
      <c r="B44" s="42"/>
      <c r="C44" s="49" t="s">
        <v>78</v>
      </c>
      <c r="D44" s="50" t="s">
        <v>79</v>
      </c>
      <c r="E44" s="51" t="s">
        <v>75</v>
      </c>
      <c r="F44" s="51" t="s">
        <v>80</v>
      </c>
      <c r="G44" s="42"/>
      <c r="H44" s="39"/>
      <c r="I44" s="39"/>
      <c r="J44" s="39"/>
      <c r="K44" s="39"/>
      <c r="L44" s="39"/>
      <c r="M44" s="39"/>
      <c r="N44" s="39"/>
    </row>
    <row r="45" spans="1:14" ht="15" customHeight="1">
      <c r="A45" s="53" t="s">
        <v>98</v>
      </c>
      <c r="B45" s="80" t="s">
        <v>85</v>
      </c>
      <c r="C45" s="55">
        <f>Plan1!F9+0</f>
        <v>8</v>
      </c>
      <c r="D45" s="65"/>
      <c r="E45" s="65"/>
      <c r="F45" s="56">
        <f>E45*8</f>
        <v>0</v>
      </c>
      <c r="G45" s="57">
        <f>(C45-F45)</f>
        <v>8</v>
      </c>
      <c r="H45" s="39"/>
      <c r="I45" s="39"/>
      <c r="J45" s="39"/>
      <c r="K45" s="39"/>
      <c r="L45" s="39"/>
      <c r="M45" s="39"/>
      <c r="N45" s="39"/>
    </row>
    <row r="46" spans="1:14" ht="15">
      <c r="A46" s="53"/>
      <c r="B46" s="80" t="s">
        <v>4</v>
      </c>
      <c r="C46" s="64">
        <f>Plan1!G9+0</f>
        <v>8</v>
      </c>
      <c r="D46" s="65"/>
      <c r="E46" s="65"/>
      <c r="F46" s="56">
        <f>E46*8</f>
        <v>0</v>
      </c>
      <c r="G46" s="57">
        <f>(C46-F46)</f>
        <v>8</v>
      </c>
      <c r="H46" s="39"/>
      <c r="I46" s="39"/>
      <c r="J46" s="39"/>
      <c r="K46" s="39"/>
      <c r="L46" s="39"/>
      <c r="M46" s="39"/>
      <c r="N46" s="39"/>
    </row>
    <row r="47" spans="1:14" ht="15">
      <c r="A47" s="53"/>
      <c r="B47" s="80" t="s">
        <v>5</v>
      </c>
      <c r="C47" s="55">
        <f>Plan1!H9+0</f>
        <v>8</v>
      </c>
      <c r="D47" s="65"/>
      <c r="E47" s="65"/>
      <c r="F47" s="56">
        <f>E47*8</f>
        <v>0</v>
      </c>
      <c r="G47" s="57">
        <f>(C47-F47)</f>
        <v>8</v>
      </c>
      <c r="H47" s="39"/>
      <c r="I47" s="39"/>
      <c r="J47" s="39"/>
      <c r="K47" s="39"/>
      <c r="L47" s="39"/>
      <c r="M47" s="39"/>
      <c r="N47" s="39"/>
    </row>
    <row r="48" spans="1:14" ht="15">
      <c r="A48" s="53"/>
      <c r="B48" s="80" t="s">
        <v>87</v>
      </c>
      <c r="C48" s="64">
        <f>Plan1!I9+0</f>
        <v>8</v>
      </c>
      <c r="D48" s="65"/>
      <c r="E48" s="65"/>
      <c r="F48" s="56">
        <f>E48*8</f>
        <v>0</v>
      </c>
      <c r="G48" s="57">
        <f>(C48-F48)</f>
        <v>8</v>
      </c>
      <c r="H48" s="39"/>
      <c r="I48" s="39"/>
      <c r="J48" s="39"/>
      <c r="K48" s="39"/>
      <c r="L48" s="39"/>
      <c r="M48" s="39"/>
      <c r="N48" s="39"/>
    </row>
    <row r="49" spans="1:14" ht="15">
      <c r="A49" s="53"/>
      <c r="B49" s="80" t="s">
        <v>7</v>
      </c>
      <c r="C49" s="55">
        <f>Plan1!J9+0</f>
        <v>8</v>
      </c>
      <c r="D49" s="65"/>
      <c r="E49" s="65"/>
      <c r="F49" s="56">
        <f>E49*8</f>
        <v>0</v>
      </c>
      <c r="G49" s="57">
        <f>(C49-F49)</f>
        <v>8</v>
      </c>
      <c r="H49" s="39"/>
      <c r="I49" s="39"/>
      <c r="J49" s="39"/>
      <c r="K49" s="39"/>
      <c r="L49" s="39"/>
      <c r="M49" s="39"/>
      <c r="N49" s="39"/>
    </row>
    <row r="50" spans="1:14" ht="15">
      <c r="A50" s="53"/>
      <c r="B50" s="80" t="s">
        <v>88</v>
      </c>
      <c r="C50" s="64">
        <f>Plan1!K9+0</f>
        <v>8</v>
      </c>
      <c r="D50" s="65"/>
      <c r="E50" s="65"/>
      <c r="F50" s="56">
        <f>E50*8</f>
        <v>0</v>
      </c>
      <c r="G50" s="57">
        <f>(C50-F50)</f>
        <v>8</v>
      </c>
      <c r="H50" s="39"/>
      <c r="I50" s="39"/>
      <c r="J50" s="39"/>
      <c r="K50" s="39"/>
      <c r="L50" s="39"/>
      <c r="M50" s="39"/>
      <c r="N50" s="39"/>
    </row>
    <row r="51" spans="1:14" ht="15">
      <c r="A51" s="53"/>
      <c r="B51" s="80" t="s">
        <v>9</v>
      </c>
      <c r="C51" s="55">
        <f>Plan1!L9+0</f>
        <v>8</v>
      </c>
      <c r="D51" s="65"/>
      <c r="E51" s="65"/>
      <c r="F51" s="56">
        <f>E51*8</f>
        <v>0</v>
      </c>
      <c r="G51" s="57">
        <f>(C51-F51)</f>
        <v>8</v>
      </c>
      <c r="H51" s="39"/>
      <c r="I51" s="39"/>
      <c r="J51" s="39"/>
      <c r="K51" s="39"/>
      <c r="L51" s="39"/>
      <c r="M51" s="39"/>
      <c r="N51" s="39"/>
    </row>
    <row r="52" spans="1:14" ht="15">
      <c r="A52" s="53"/>
      <c r="B52" s="80" t="s">
        <v>10</v>
      </c>
      <c r="C52" s="64">
        <f>Plan1!M9+0</f>
        <v>8</v>
      </c>
      <c r="D52" s="65"/>
      <c r="E52" s="65"/>
      <c r="F52" s="56">
        <f>E52*8</f>
        <v>0</v>
      </c>
      <c r="G52" s="57">
        <f>(C52-F52)</f>
        <v>8</v>
      </c>
      <c r="H52" s="39"/>
      <c r="I52" s="39"/>
      <c r="J52" s="39"/>
      <c r="K52" s="39"/>
      <c r="L52" s="39"/>
      <c r="M52" s="39"/>
      <c r="N52" s="39"/>
    </row>
    <row r="53" spans="1:14" ht="15">
      <c r="A53" s="53"/>
      <c r="B53" s="80" t="s">
        <v>11</v>
      </c>
      <c r="C53" s="55">
        <f>Plan1!N9+0</f>
        <v>8</v>
      </c>
      <c r="D53" s="65" t="s">
        <v>99</v>
      </c>
      <c r="E53" s="65">
        <v>11</v>
      </c>
      <c r="F53" s="56">
        <f>E53*8</f>
        <v>88</v>
      </c>
      <c r="G53" s="57">
        <f>(C53-F53)</f>
        <v>-80</v>
      </c>
      <c r="H53" s="39"/>
      <c r="I53" s="39"/>
      <c r="J53" s="39"/>
      <c r="K53" s="39"/>
      <c r="L53" s="39"/>
      <c r="M53" s="39"/>
      <c r="N53" s="39"/>
    </row>
    <row r="54" spans="1:14" ht="15">
      <c r="A54" s="53"/>
      <c r="B54" s="80" t="s">
        <v>91</v>
      </c>
      <c r="C54" s="64">
        <f>Plan1!O9+0</f>
        <v>8</v>
      </c>
      <c r="D54" s="65"/>
      <c r="E54" s="65"/>
      <c r="F54" s="56">
        <f>E54*8</f>
        <v>0</v>
      </c>
      <c r="G54" s="57">
        <f>(C54-F54)</f>
        <v>8</v>
      </c>
      <c r="H54" s="39"/>
      <c r="I54" s="39"/>
      <c r="J54" s="39"/>
      <c r="K54" s="39"/>
      <c r="L54" s="39"/>
      <c r="M54" s="39"/>
      <c r="N54" s="39"/>
    </row>
    <row r="55" spans="1:14" ht="14.25" customHeight="1">
      <c r="A55" s="53"/>
      <c r="B55" s="80" t="s">
        <v>13</v>
      </c>
      <c r="C55" s="55">
        <f>Plan1!P9+0</f>
        <v>8</v>
      </c>
      <c r="D55" s="65"/>
      <c r="E55" s="65"/>
      <c r="F55" s="56">
        <f>E55*8</f>
        <v>0</v>
      </c>
      <c r="G55" s="57">
        <f>(C55-F55)</f>
        <v>8</v>
      </c>
      <c r="H55" s="39"/>
      <c r="I55" s="39"/>
      <c r="J55" s="39"/>
      <c r="K55" s="39"/>
      <c r="L55" s="39"/>
      <c r="M55" s="39"/>
      <c r="N55" s="39"/>
    </row>
    <row r="56" spans="1:14" ht="15">
      <c r="A56" s="53"/>
      <c r="B56" s="80" t="s">
        <v>92</v>
      </c>
      <c r="C56" s="64">
        <f>Plan1!Q9+0</f>
        <v>8</v>
      </c>
      <c r="D56" s="65" t="s">
        <v>100</v>
      </c>
      <c r="E56" s="65">
        <v>11</v>
      </c>
      <c r="F56" s="56">
        <f>E56*8</f>
        <v>88</v>
      </c>
      <c r="G56" s="57">
        <f>(C56-F56)</f>
        <v>-80</v>
      </c>
      <c r="H56" s="39"/>
      <c r="I56" s="39"/>
      <c r="J56" s="39"/>
      <c r="K56" s="39"/>
      <c r="L56" s="39"/>
      <c r="M56" s="39"/>
      <c r="N56" s="39"/>
    </row>
    <row r="57" spans="1:14" ht="15">
      <c r="A57" s="67" t="s">
        <v>15</v>
      </c>
      <c r="B57" s="81"/>
      <c r="C57" s="55">
        <f>SUM(C45:C56)</f>
        <v>96</v>
      </c>
      <c r="D57" s="65"/>
      <c r="E57" s="65">
        <f>SUM(E45:E56)</f>
        <v>22</v>
      </c>
      <c r="F57" s="56">
        <f>SUM(F45:F56)</f>
        <v>176</v>
      </c>
      <c r="G57" s="57">
        <f>(C57-F57)</f>
        <v>-80</v>
      </c>
      <c r="H57" s="39"/>
      <c r="I57" s="39"/>
      <c r="J57" s="39"/>
      <c r="K57" s="39"/>
      <c r="L57" s="39"/>
      <c r="M57" s="39"/>
      <c r="N57" s="39"/>
    </row>
    <row r="58" spans="1:14" ht="14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4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30" customHeight="1">
      <c r="A61" s="42" t="s">
        <v>70</v>
      </c>
      <c r="B61" s="42" t="s">
        <v>71</v>
      </c>
      <c r="C61" s="43" t="s">
        <v>72</v>
      </c>
      <c r="D61" s="44" t="s">
        <v>73</v>
      </c>
      <c r="E61" s="44"/>
      <c r="F61" s="44"/>
      <c r="G61" s="42" t="s">
        <v>74</v>
      </c>
      <c r="H61" s="45"/>
      <c r="I61" s="39"/>
      <c r="J61" s="39"/>
      <c r="K61" s="39"/>
      <c r="L61" s="39"/>
      <c r="M61" s="39"/>
      <c r="N61" s="39"/>
    </row>
    <row r="62" spans="1:14" ht="45.75">
      <c r="A62" s="42"/>
      <c r="B62" s="42"/>
      <c r="C62" s="49" t="s">
        <v>78</v>
      </c>
      <c r="D62" s="50" t="s">
        <v>79</v>
      </c>
      <c r="E62" s="51" t="s">
        <v>75</v>
      </c>
      <c r="F62" s="51" t="s">
        <v>80</v>
      </c>
      <c r="G62" s="42"/>
      <c r="H62" s="45"/>
      <c r="I62" s="39"/>
      <c r="J62" s="39"/>
      <c r="K62" s="39"/>
      <c r="L62" s="39"/>
      <c r="M62" s="39"/>
      <c r="N62" s="39"/>
    </row>
    <row r="63" spans="1:14" ht="15" customHeight="1">
      <c r="A63" s="53" t="s">
        <v>101</v>
      </c>
      <c r="B63" s="80" t="s">
        <v>85</v>
      </c>
      <c r="C63" s="55">
        <f>Plan1!F9+0</f>
        <v>8</v>
      </c>
      <c r="D63" s="65"/>
      <c r="E63" s="65"/>
      <c r="F63" s="56">
        <f>E63*8</f>
        <v>0</v>
      </c>
      <c r="G63" s="57">
        <f>(C63-F63)</f>
        <v>8</v>
      </c>
      <c r="H63" s="58"/>
      <c r="I63" s="39"/>
      <c r="J63" s="39"/>
      <c r="K63" s="39"/>
      <c r="L63" s="39"/>
      <c r="M63" s="39"/>
      <c r="N63" s="39"/>
    </row>
    <row r="64" spans="1:14" ht="15">
      <c r="A64" s="53"/>
      <c r="B64" s="80" t="s">
        <v>4</v>
      </c>
      <c r="C64" s="64">
        <f>Plan1!G9+0</f>
        <v>8</v>
      </c>
      <c r="D64" s="65"/>
      <c r="E64" s="65"/>
      <c r="F64" s="56">
        <f>E64*8</f>
        <v>0</v>
      </c>
      <c r="G64" s="57">
        <f>(C64-F64)</f>
        <v>8</v>
      </c>
      <c r="H64" s="58"/>
      <c r="I64" s="39"/>
      <c r="J64" s="39"/>
      <c r="K64" s="39"/>
      <c r="L64" s="39"/>
      <c r="M64" s="39"/>
      <c r="N64" s="39"/>
    </row>
    <row r="65" spans="1:14" ht="15">
      <c r="A65" s="53"/>
      <c r="B65" s="80" t="s">
        <v>5</v>
      </c>
      <c r="C65" s="55">
        <f>Plan1!H9+0</f>
        <v>8</v>
      </c>
      <c r="D65" s="65"/>
      <c r="E65" s="65"/>
      <c r="F65" s="56">
        <f>E65*8</f>
        <v>0</v>
      </c>
      <c r="G65" s="57">
        <f>(C65-F65)</f>
        <v>8</v>
      </c>
      <c r="H65" s="58"/>
      <c r="I65" s="39"/>
      <c r="J65" s="39"/>
      <c r="K65" s="39"/>
      <c r="L65" s="39"/>
      <c r="M65" s="39"/>
      <c r="N65" s="39"/>
    </row>
    <row r="66" spans="1:14" ht="15">
      <c r="A66" s="53"/>
      <c r="B66" s="80" t="s">
        <v>87</v>
      </c>
      <c r="C66" s="64">
        <f>Plan1!I9+0</f>
        <v>8</v>
      </c>
      <c r="D66" s="65"/>
      <c r="E66" s="65"/>
      <c r="F66" s="56">
        <f>E66*8</f>
        <v>0</v>
      </c>
      <c r="G66" s="57">
        <f>(C66-F66)</f>
        <v>8</v>
      </c>
      <c r="H66" s="58"/>
      <c r="I66" s="39"/>
      <c r="J66" s="39"/>
      <c r="K66" s="39"/>
      <c r="L66" s="39"/>
      <c r="M66" s="39"/>
      <c r="N66" s="39"/>
    </row>
    <row r="67" spans="1:14" ht="15">
      <c r="A67" s="53"/>
      <c r="B67" s="80" t="s">
        <v>7</v>
      </c>
      <c r="C67" s="55">
        <f>Plan1!J9+0</f>
        <v>8</v>
      </c>
      <c r="D67" s="65"/>
      <c r="E67" s="65"/>
      <c r="F67" s="56">
        <f>E67*8</f>
        <v>0</v>
      </c>
      <c r="G67" s="57">
        <f>(C67-F67)</f>
        <v>8</v>
      </c>
      <c r="H67" s="58"/>
      <c r="I67" s="39"/>
      <c r="J67" s="39"/>
      <c r="K67" s="39"/>
      <c r="L67" s="39"/>
      <c r="M67" s="39"/>
      <c r="N67" s="39"/>
    </row>
    <row r="68" spans="1:14" ht="15">
      <c r="A68" s="53"/>
      <c r="B68" s="80" t="s">
        <v>88</v>
      </c>
      <c r="C68" s="64">
        <f>Plan1!K9+0</f>
        <v>8</v>
      </c>
      <c r="D68" s="65"/>
      <c r="E68" s="65"/>
      <c r="F68" s="56">
        <f>E68*8</f>
        <v>0</v>
      </c>
      <c r="G68" s="57">
        <f>(C68-F68)</f>
        <v>8</v>
      </c>
      <c r="H68" s="58"/>
      <c r="I68" s="39"/>
      <c r="J68" s="39"/>
      <c r="K68" s="39"/>
      <c r="L68" s="39"/>
      <c r="M68" s="39"/>
      <c r="N68" s="39"/>
    </row>
    <row r="69" spans="1:14" ht="15">
      <c r="A69" s="53"/>
      <c r="B69" s="80" t="s">
        <v>9</v>
      </c>
      <c r="C69" s="55">
        <f>Plan1!L9+0</f>
        <v>8</v>
      </c>
      <c r="D69" s="65" t="s">
        <v>102</v>
      </c>
      <c r="E69" s="65">
        <v>8</v>
      </c>
      <c r="F69" s="56">
        <f>E69*8</f>
        <v>64</v>
      </c>
      <c r="G69" s="57">
        <f>(C69-F69)</f>
        <v>-56</v>
      </c>
      <c r="H69" s="58"/>
      <c r="I69" s="39"/>
      <c r="J69" s="39"/>
      <c r="K69" s="39"/>
      <c r="L69" s="39"/>
      <c r="M69" s="39"/>
      <c r="N69" s="39"/>
    </row>
    <row r="70" spans="1:14" ht="15">
      <c r="A70" s="53"/>
      <c r="B70" s="80" t="s">
        <v>10</v>
      </c>
      <c r="C70" s="64">
        <f>Plan1!M9+0</f>
        <v>8</v>
      </c>
      <c r="D70" s="65"/>
      <c r="E70" s="65"/>
      <c r="F70" s="56">
        <f>E70*8</f>
        <v>0</v>
      </c>
      <c r="G70" s="57">
        <f>(C70-F70)</f>
        <v>8</v>
      </c>
      <c r="H70" s="58"/>
      <c r="I70" s="39"/>
      <c r="J70" s="39"/>
      <c r="K70" s="39"/>
      <c r="L70" s="39"/>
      <c r="M70" s="39"/>
      <c r="N70" s="39"/>
    </row>
    <row r="71" spans="1:14" ht="15">
      <c r="A71" s="53"/>
      <c r="B71" s="80" t="s">
        <v>11</v>
      </c>
      <c r="C71" s="55">
        <f>Plan1!N9+0</f>
        <v>8</v>
      </c>
      <c r="D71" s="65"/>
      <c r="E71" s="65"/>
      <c r="F71" s="56">
        <f>E71*8</f>
        <v>0</v>
      </c>
      <c r="G71" s="57">
        <f>(C71-F71)</f>
        <v>8</v>
      </c>
      <c r="H71" s="58"/>
      <c r="I71" s="39"/>
      <c r="J71" s="39"/>
      <c r="K71" s="39"/>
      <c r="L71" s="39"/>
      <c r="M71" s="39"/>
      <c r="N71" s="39"/>
    </row>
    <row r="72" spans="1:14" ht="15">
      <c r="A72" s="53"/>
      <c r="B72" s="80" t="s">
        <v>91</v>
      </c>
      <c r="C72" s="64">
        <f>Plan1!O9+0</f>
        <v>8</v>
      </c>
      <c r="D72" s="65" t="s">
        <v>103</v>
      </c>
      <c r="E72" s="65">
        <v>8</v>
      </c>
      <c r="F72" s="56">
        <f>E72*8</f>
        <v>64</v>
      </c>
      <c r="G72" s="57">
        <f>(C72-F72)</f>
        <v>-56</v>
      </c>
      <c r="H72" s="58"/>
      <c r="I72" s="39"/>
      <c r="J72" s="39"/>
      <c r="K72" s="39"/>
      <c r="L72" s="39"/>
      <c r="M72" s="39"/>
      <c r="N72" s="39"/>
    </row>
    <row r="73" spans="1:14" ht="14.25" customHeight="1">
      <c r="A73" s="53"/>
      <c r="B73" s="80" t="s">
        <v>13</v>
      </c>
      <c r="C73" s="55">
        <f>Plan1!P9+0</f>
        <v>8</v>
      </c>
      <c r="D73" s="65"/>
      <c r="E73" s="65"/>
      <c r="F73" s="56">
        <f>E73*8</f>
        <v>0</v>
      </c>
      <c r="G73" s="57">
        <f>(C73-F73)</f>
        <v>8</v>
      </c>
      <c r="H73" s="58"/>
      <c r="I73" s="39"/>
      <c r="J73" s="39"/>
      <c r="K73" s="39"/>
      <c r="L73" s="39"/>
      <c r="M73" s="39"/>
      <c r="N73" s="39"/>
    </row>
    <row r="74" spans="1:14" ht="15">
      <c r="A74" s="53"/>
      <c r="B74" s="80" t="s">
        <v>92</v>
      </c>
      <c r="C74" s="64">
        <f>Plan1!Q9+0</f>
        <v>8</v>
      </c>
      <c r="D74" s="65" t="s">
        <v>104</v>
      </c>
      <c r="E74" s="65">
        <v>8</v>
      </c>
      <c r="F74" s="56">
        <f>E74*8</f>
        <v>64</v>
      </c>
      <c r="G74" s="57">
        <f>(C74-F74)</f>
        <v>-56</v>
      </c>
      <c r="H74" s="58"/>
      <c r="I74" s="39"/>
      <c r="J74" s="39"/>
      <c r="K74" s="39"/>
      <c r="L74" s="39"/>
      <c r="M74" s="39"/>
      <c r="N74" s="39"/>
    </row>
    <row r="75" spans="1:14" ht="15">
      <c r="A75" s="67" t="s">
        <v>15</v>
      </c>
      <c r="B75" s="81"/>
      <c r="C75" s="55">
        <f>SUM(C63:C74)</f>
        <v>96</v>
      </c>
      <c r="D75" s="65"/>
      <c r="E75" s="65"/>
      <c r="F75" s="56">
        <f>SUM(F63:F74)</f>
        <v>192</v>
      </c>
      <c r="G75" s="57">
        <f>(C75-F75)</f>
        <v>-96</v>
      </c>
      <c r="H75" s="58"/>
      <c r="I75" s="39"/>
      <c r="J75" s="39"/>
      <c r="K75" s="39"/>
      <c r="L75" s="39"/>
      <c r="M75" s="39"/>
      <c r="N75" s="39"/>
    </row>
    <row r="76" spans="1:14" ht="14.25">
      <c r="A76" s="39"/>
      <c r="B76" s="39"/>
      <c r="C76" s="39"/>
      <c r="D76" s="39"/>
      <c r="E76" s="39"/>
      <c r="F76" s="39"/>
      <c r="G76" s="39"/>
      <c r="H76" s="58"/>
      <c r="I76" s="39"/>
      <c r="J76" s="39"/>
      <c r="K76" s="39"/>
      <c r="L76" s="39"/>
      <c r="M76" s="39"/>
      <c r="N76" s="39"/>
    </row>
    <row r="77" spans="1:14" ht="14.25">
      <c r="A77" s="39"/>
      <c r="B77" s="39"/>
      <c r="C77" s="39"/>
      <c r="D77" s="39"/>
      <c r="E77" s="39"/>
      <c r="F77" s="39"/>
      <c r="G77" s="39"/>
      <c r="H77" s="58"/>
      <c r="I77" s="39"/>
      <c r="J77" s="39"/>
      <c r="K77" s="39"/>
      <c r="L77" s="39"/>
      <c r="M77" s="39"/>
      <c r="N77" s="39"/>
    </row>
    <row r="78" spans="1:14" ht="14.25">
      <c r="A78" s="39"/>
      <c r="B78" s="39"/>
      <c r="C78" s="39"/>
      <c r="D78" s="39"/>
      <c r="E78" s="39"/>
      <c r="F78" s="39"/>
      <c r="G78" s="39"/>
      <c r="H78" s="58"/>
      <c r="I78" s="39"/>
      <c r="J78" s="39"/>
      <c r="K78" s="39"/>
      <c r="L78" s="39"/>
      <c r="M78" s="39"/>
      <c r="N78" s="39"/>
    </row>
    <row r="79" spans="1:14" ht="14.25">
      <c r="A79" s="39"/>
      <c r="B79" s="39"/>
      <c r="C79" s="39"/>
      <c r="D79" s="39"/>
      <c r="E79" s="39"/>
      <c r="F79" s="39"/>
      <c r="G79" s="39"/>
      <c r="H79" s="58"/>
      <c r="I79" s="39"/>
      <c r="J79" s="39"/>
      <c r="K79" s="39"/>
      <c r="L79" s="39"/>
      <c r="M79" s="39"/>
      <c r="N79" s="39"/>
    </row>
    <row r="80" spans="1:14" ht="14.25">
      <c r="A80" s="39"/>
      <c r="B80" s="39"/>
      <c r="C80" s="39"/>
      <c r="D80" s="39"/>
      <c r="E80" s="39"/>
      <c r="F80" s="39"/>
      <c r="G80" s="39"/>
      <c r="H80" s="58"/>
      <c r="I80" s="39"/>
      <c r="J80" s="39"/>
      <c r="K80" s="39"/>
      <c r="L80" s="39"/>
      <c r="M80" s="39"/>
      <c r="N80" s="39"/>
    </row>
    <row r="81" spans="1:14" ht="14.25">
      <c r="A81" s="39"/>
      <c r="B81" s="39"/>
      <c r="C81" s="39"/>
      <c r="D81" s="39"/>
      <c r="E81" s="39"/>
      <c r="F81" s="39"/>
      <c r="G81" s="39"/>
      <c r="H81" s="58"/>
      <c r="I81" s="39"/>
      <c r="J81" s="39"/>
      <c r="K81" s="39"/>
      <c r="L81" s="39"/>
      <c r="M81" s="39"/>
      <c r="N81" s="39"/>
    </row>
    <row r="82" spans="1:14" ht="14.25">
      <c r="A82" s="39"/>
      <c r="B82" s="39"/>
      <c r="C82" s="39"/>
      <c r="D82" s="39"/>
      <c r="E82" s="39"/>
      <c r="F82" s="39"/>
      <c r="G82" s="39"/>
      <c r="H82" s="58"/>
      <c r="I82" s="39"/>
      <c r="J82" s="39"/>
      <c r="K82" s="39"/>
      <c r="L82" s="39"/>
      <c r="M82" s="39"/>
      <c r="N82" s="39"/>
    </row>
    <row r="83" spans="1:14" ht="14.25">
      <c r="A83" s="39"/>
      <c r="B83" s="39"/>
      <c r="C83" s="39"/>
      <c r="D83" s="39"/>
      <c r="E83" s="39"/>
      <c r="F83" s="39"/>
      <c r="G83" s="39"/>
      <c r="H83" s="58"/>
      <c r="I83" s="39"/>
      <c r="J83" s="39"/>
      <c r="K83" s="39"/>
      <c r="L83" s="39"/>
      <c r="M83" s="39"/>
      <c r="N83" s="39"/>
    </row>
    <row r="84" spans="1:14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30" ht="30" customHeight="1">
      <c r="A87" s="42" t="s">
        <v>70</v>
      </c>
      <c r="B87" s="42" t="s">
        <v>71</v>
      </c>
      <c r="C87" s="43" t="s">
        <v>72</v>
      </c>
      <c r="D87" s="44" t="s">
        <v>73</v>
      </c>
      <c r="E87" s="44"/>
      <c r="F87" s="44"/>
      <c r="G87" s="42" t="s">
        <v>74</v>
      </c>
      <c r="H87" s="45"/>
      <c r="I87" s="39"/>
      <c r="J87" s="39"/>
      <c r="K87" s="39"/>
      <c r="L87" s="39"/>
      <c r="M87" s="39"/>
      <c r="N87" s="39"/>
      <c r="Y87" s="36"/>
      <c r="Z87" s="36"/>
      <c r="AA87" s="36"/>
      <c r="AB87" s="36"/>
      <c r="AC87" s="36"/>
      <c r="AD87" s="36"/>
    </row>
    <row r="88" spans="1:14" ht="45.75">
      <c r="A88" s="42"/>
      <c r="B88" s="42"/>
      <c r="C88" s="49" t="s">
        <v>78</v>
      </c>
      <c r="D88" s="50" t="s">
        <v>79</v>
      </c>
      <c r="E88" s="51" t="s">
        <v>75</v>
      </c>
      <c r="F88" s="51" t="s">
        <v>80</v>
      </c>
      <c r="G88" s="42"/>
      <c r="H88" s="45"/>
      <c r="I88" s="39"/>
      <c r="J88" s="39"/>
      <c r="K88" s="39"/>
      <c r="L88" s="39"/>
      <c r="M88" s="39"/>
      <c r="N88" s="39"/>
    </row>
    <row r="89" spans="1:14" ht="15" customHeight="1">
      <c r="A89" s="53" t="s">
        <v>105</v>
      </c>
      <c r="B89" s="80" t="s">
        <v>85</v>
      </c>
      <c r="C89" s="55">
        <f>Plan1!F9+0</f>
        <v>8</v>
      </c>
      <c r="D89" s="65" t="s">
        <v>106</v>
      </c>
      <c r="E89" s="65">
        <v>12</v>
      </c>
      <c r="F89" s="56">
        <f>E89*8</f>
        <v>96</v>
      </c>
      <c r="G89" s="57">
        <f>(C89-F89)</f>
        <v>-88</v>
      </c>
      <c r="H89" s="58"/>
      <c r="I89" s="39"/>
      <c r="J89" s="39"/>
      <c r="K89" s="39"/>
      <c r="L89" s="39"/>
      <c r="M89" s="39"/>
      <c r="N89" s="39"/>
    </row>
    <row r="90" spans="1:14" ht="15">
      <c r="A90" s="53"/>
      <c r="B90" s="80" t="s">
        <v>4</v>
      </c>
      <c r="C90" s="64">
        <f>Plan1!G9+0</f>
        <v>8</v>
      </c>
      <c r="D90" s="65" t="s">
        <v>107</v>
      </c>
      <c r="E90" s="65">
        <v>12</v>
      </c>
      <c r="F90" s="56">
        <f>E90*8</f>
        <v>96</v>
      </c>
      <c r="G90" s="57">
        <f>(C90-F90)</f>
        <v>-88</v>
      </c>
      <c r="H90" s="58"/>
      <c r="I90" s="39"/>
      <c r="J90" s="39"/>
      <c r="K90" s="39"/>
      <c r="L90" s="39"/>
      <c r="M90" s="39"/>
      <c r="N90" s="39"/>
    </row>
    <row r="91" spans="1:14" ht="15">
      <c r="A91" s="53"/>
      <c r="B91" s="80" t="s">
        <v>5</v>
      </c>
      <c r="C91" s="55">
        <f>Plan1!H9+0</f>
        <v>8</v>
      </c>
      <c r="D91" s="65"/>
      <c r="E91" s="65"/>
      <c r="F91" s="56">
        <f>E91*8</f>
        <v>0</v>
      </c>
      <c r="G91" s="57">
        <f>(C91-F91)</f>
        <v>8</v>
      </c>
      <c r="H91" s="58"/>
      <c r="I91" s="39"/>
      <c r="J91" s="39"/>
      <c r="K91" s="39"/>
      <c r="L91" s="39"/>
      <c r="M91" s="39"/>
      <c r="N91" s="39"/>
    </row>
    <row r="92" spans="1:14" ht="15">
      <c r="A92" s="53"/>
      <c r="B92" s="80" t="s">
        <v>87</v>
      </c>
      <c r="C92" s="64">
        <f>Plan1!I9+0</f>
        <v>8</v>
      </c>
      <c r="D92" s="65"/>
      <c r="E92" s="65"/>
      <c r="F92" s="56">
        <f>E92*8</f>
        <v>0</v>
      </c>
      <c r="G92" s="57">
        <f>(C92-F92)</f>
        <v>8</v>
      </c>
      <c r="H92" s="58"/>
      <c r="I92" s="39"/>
      <c r="J92" s="39"/>
      <c r="K92" s="39"/>
      <c r="L92" s="39"/>
      <c r="M92" s="39"/>
      <c r="N92" s="39"/>
    </row>
    <row r="93" spans="1:14" ht="15">
      <c r="A93" s="53"/>
      <c r="B93" s="80" t="s">
        <v>7</v>
      </c>
      <c r="C93" s="55">
        <f>Plan1!J9+0</f>
        <v>8</v>
      </c>
      <c r="D93" s="65"/>
      <c r="E93" s="65"/>
      <c r="F93" s="56">
        <f>E93*8</f>
        <v>0</v>
      </c>
      <c r="G93" s="57">
        <f>(C93-F93)</f>
        <v>8</v>
      </c>
      <c r="H93" s="58"/>
      <c r="I93" s="39"/>
      <c r="J93" s="39"/>
      <c r="K93" s="39"/>
      <c r="L93" s="39"/>
      <c r="M93" s="39"/>
      <c r="N93" s="39"/>
    </row>
    <row r="94" spans="1:14" ht="15">
      <c r="A94" s="53"/>
      <c r="B94" s="80" t="s">
        <v>88</v>
      </c>
      <c r="C94" s="64">
        <f>Plan1!K9+0</f>
        <v>8</v>
      </c>
      <c r="D94" s="65"/>
      <c r="E94" s="65"/>
      <c r="F94" s="56">
        <f>E94*8</f>
        <v>0</v>
      </c>
      <c r="G94" s="57">
        <f>(C94-F94)</f>
        <v>8</v>
      </c>
      <c r="H94" s="58"/>
      <c r="I94" s="39"/>
      <c r="J94" s="39"/>
      <c r="K94" s="39"/>
      <c r="L94" s="39"/>
      <c r="M94" s="39"/>
      <c r="N94" s="39"/>
    </row>
    <row r="95" spans="1:14" ht="15">
      <c r="A95" s="53"/>
      <c r="B95" s="80" t="s">
        <v>9</v>
      </c>
      <c r="C95" s="55">
        <f>Plan1!L9+0</f>
        <v>8</v>
      </c>
      <c r="D95" s="65" t="s">
        <v>108</v>
      </c>
      <c r="E95" s="65">
        <v>8</v>
      </c>
      <c r="F95" s="56">
        <f>E95*8</f>
        <v>64</v>
      </c>
      <c r="G95" s="57">
        <f>(C95-F95)</f>
        <v>-56</v>
      </c>
      <c r="H95" s="58"/>
      <c r="I95" s="39"/>
      <c r="J95" s="39"/>
      <c r="K95" s="39"/>
      <c r="L95" s="39"/>
      <c r="M95" s="39"/>
      <c r="N95" s="39"/>
    </row>
    <row r="96" spans="1:14" ht="15">
      <c r="A96" s="53"/>
      <c r="B96" s="80" t="s">
        <v>10</v>
      </c>
      <c r="C96" s="64">
        <f>Plan1!M9+0</f>
        <v>8</v>
      </c>
      <c r="D96" s="65"/>
      <c r="E96" s="65"/>
      <c r="F96" s="56">
        <f>E96*8</f>
        <v>0</v>
      </c>
      <c r="G96" s="57">
        <f>(C96-F96)</f>
        <v>8</v>
      </c>
      <c r="H96" s="58"/>
      <c r="I96" s="39"/>
      <c r="J96" s="39"/>
      <c r="K96" s="39"/>
      <c r="L96" s="39"/>
      <c r="M96" s="39"/>
      <c r="N96" s="39"/>
    </row>
    <row r="97" spans="1:14" ht="15">
      <c r="A97" s="53"/>
      <c r="B97" s="80" t="s">
        <v>11</v>
      </c>
      <c r="C97" s="55">
        <f>Plan1!N9+0</f>
        <v>8</v>
      </c>
      <c r="D97" s="65"/>
      <c r="E97" s="65"/>
      <c r="F97" s="56">
        <f>E97*8</f>
        <v>0</v>
      </c>
      <c r="G97" s="57">
        <f>(C97-F97)</f>
        <v>8</v>
      </c>
      <c r="H97" s="58"/>
      <c r="I97" s="39"/>
      <c r="J97" s="39"/>
      <c r="K97" s="39"/>
      <c r="L97" s="39"/>
      <c r="M97" s="39"/>
      <c r="N97" s="39"/>
    </row>
    <row r="98" spans="1:14" ht="15">
      <c r="A98" s="53"/>
      <c r="B98" s="80" t="s">
        <v>91</v>
      </c>
      <c r="C98" s="64">
        <f>Plan1!O9+0</f>
        <v>8</v>
      </c>
      <c r="D98" s="65"/>
      <c r="E98" s="65"/>
      <c r="F98" s="56">
        <f>E98*8</f>
        <v>0</v>
      </c>
      <c r="G98" s="57">
        <f>(C98-F98)</f>
        <v>8</v>
      </c>
      <c r="H98" s="58"/>
      <c r="I98" s="39"/>
      <c r="J98" s="39"/>
      <c r="K98" s="39"/>
      <c r="L98" s="39"/>
      <c r="M98" s="39"/>
      <c r="N98" s="39"/>
    </row>
    <row r="99" spans="1:14" ht="14.25" customHeight="1">
      <c r="A99" s="53"/>
      <c r="B99" s="80" t="s">
        <v>13</v>
      </c>
      <c r="C99" s="55">
        <f>Plan1!P9+0</f>
        <v>8</v>
      </c>
      <c r="D99" s="65" t="s">
        <v>109</v>
      </c>
      <c r="E99" s="65">
        <v>8</v>
      </c>
      <c r="F99" s="56">
        <f>E99*8</f>
        <v>64</v>
      </c>
      <c r="G99" s="57">
        <f>(C99-F99)</f>
        <v>-56</v>
      </c>
      <c r="H99" s="58"/>
      <c r="I99" s="39"/>
      <c r="J99" s="39"/>
      <c r="K99" s="39"/>
      <c r="L99" s="39"/>
      <c r="M99" s="39"/>
      <c r="N99" s="39"/>
    </row>
    <row r="100" spans="1:14" ht="15">
      <c r="A100" s="53"/>
      <c r="B100" s="80" t="s">
        <v>92</v>
      </c>
      <c r="C100" s="64">
        <f>Plan1!Q9+0</f>
        <v>8</v>
      </c>
      <c r="D100" s="65" t="s">
        <v>95</v>
      </c>
      <c r="E100" s="65">
        <v>5</v>
      </c>
      <c r="F100" s="56">
        <f>E100*8</f>
        <v>40</v>
      </c>
      <c r="G100" s="57">
        <f>(C100-F100)</f>
        <v>-32</v>
      </c>
      <c r="H100" s="58"/>
      <c r="I100" s="39"/>
      <c r="J100" s="39"/>
      <c r="K100" s="39"/>
      <c r="L100" s="39"/>
      <c r="M100" s="39"/>
      <c r="N100" s="39"/>
    </row>
    <row r="101" spans="1:14" ht="15">
      <c r="A101" s="67" t="s">
        <v>15</v>
      </c>
      <c r="B101" s="81"/>
      <c r="C101" s="55">
        <f>SUM(C89:C100)</f>
        <v>96</v>
      </c>
      <c r="D101" s="65"/>
      <c r="E101" s="65">
        <f>SUM(E89:E100)</f>
        <v>45</v>
      </c>
      <c r="F101" s="56">
        <f>SUM(F89:F100)</f>
        <v>360</v>
      </c>
      <c r="G101" s="57">
        <f>(C101-F101)</f>
        <v>-264</v>
      </c>
      <c r="H101" s="58"/>
      <c r="I101" s="39"/>
      <c r="J101" s="39"/>
      <c r="K101" s="39"/>
      <c r="L101" s="39"/>
      <c r="M101" s="39"/>
      <c r="N101" s="39"/>
    </row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</sheetData>
  <sheetProtection selectLockedCells="1" selectUnlockedCells="1"/>
  <mergeCells count="29">
    <mergeCell ref="AY1:AY2"/>
    <mergeCell ref="AZ1:AZ2"/>
    <mergeCell ref="A3:A4"/>
    <mergeCell ref="B3:B4"/>
    <mergeCell ref="D3:F3"/>
    <mergeCell ref="G3:G4"/>
    <mergeCell ref="J3:J4"/>
    <mergeCell ref="K3:K4"/>
    <mergeCell ref="A5:A16"/>
    <mergeCell ref="A21:A22"/>
    <mergeCell ref="B21:B22"/>
    <mergeCell ref="D21:F21"/>
    <mergeCell ref="G21:G22"/>
    <mergeCell ref="A23:A34"/>
    <mergeCell ref="A43:A44"/>
    <mergeCell ref="B43:B44"/>
    <mergeCell ref="D43:F43"/>
    <mergeCell ref="G43:G44"/>
    <mergeCell ref="A45:A56"/>
    <mergeCell ref="A61:A62"/>
    <mergeCell ref="B61:B62"/>
    <mergeCell ref="D61:F61"/>
    <mergeCell ref="G61:G62"/>
    <mergeCell ref="A63:A74"/>
    <mergeCell ref="A87:A88"/>
    <mergeCell ref="B87:B88"/>
    <mergeCell ref="D87:F87"/>
    <mergeCell ref="G87:G88"/>
    <mergeCell ref="A89:A100"/>
  </mergeCells>
  <printOptions/>
  <pageMargins left="1.1416666666666666" right="0.9055555555555556" top="1.1812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36"/>
  <sheetViews>
    <sheetView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2" max="2" width="36.140625" style="0" customWidth="1"/>
    <col min="3" max="3" width="13.140625" style="0" customWidth="1"/>
    <col min="4" max="4" width="34.140625" style="0" customWidth="1"/>
    <col min="5" max="5" width="17.421875" style="0" customWidth="1"/>
    <col min="6" max="6" width="13.00390625" style="0" customWidth="1"/>
    <col min="7" max="7" width="16.8515625" style="0" customWidth="1"/>
    <col min="8" max="8" width="11.140625" style="0" customWidth="1"/>
    <col min="9" max="9" width="10.7109375" style="0" customWidth="1"/>
    <col min="10" max="10" width="12.7109375" style="0" customWidth="1"/>
    <col min="11" max="16384" width="8.7109375" style="0" customWidth="1"/>
  </cols>
  <sheetData>
    <row r="1" ht="15.75">
      <c r="A1" s="38" t="s">
        <v>110</v>
      </c>
    </row>
    <row r="2" ht="16.5">
      <c r="A2" s="82"/>
    </row>
    <row r="3" spans="1:9" ht="16.5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</row>
    <row r="4" spans="1:9" ht="16.5" customHeight="1">
      <c r="A4" s="84" t="s">
        <v>111</v>
      </c>
      <c r="B4" s="84" t="s">
        <v>112</v>
      </c>
      <c r="C4" s="84" t="s">
        <v>113</v>
      </c>
      <c r="D4" s="84" t="s">
        <v>114</v>
      </c>
      <c r="E4" s="85" t="s">
        <v>115</v>
      </c>
      <c r="F4" s="84" t="s">
        <v>116</v>
      </c>
      <c r="G4" s="84" t="s">
        <v>117</v>
      </c>
      <c r="H4" s="86" t="s">
        <v>118</v>
      </c>
      <c r="I4" s="86"/>
    </row>
    <row r="5" spans="1:9" ht="16.5" customHeight="1">
      <c r="A5" s="84"/>
      <c r="B5" s="84"/>
      <c r="C5" s="84"/>
      <c r="D5" s="84"/>
      <c r="E5" s="85"/>
      <c r="F5" s="84"/>
      <c r="G5" s="84"/>
      <c r="H5" s="87" t="s">
        <v>119</v>
      </c>
      <c r="I5" s="87" t="s">
        <v>120</v>
      </c>
    </row>
    <row r="6" spans="1:10" ht="40.5" customHeight="1">
      <c r="A6" s="88">
        <v>1</v>
      </c>
      <c r="B6" s="89" t="s">
        <v>121</v>
      </c>
      <c r="C6" s="90" t="s">
        <v>122</v>
      </c>
      <c r="D6" s="91" t="s">
        <v>123</v>
      </c>
      <c r="E6" s="91" t="s">
        <v>124</v>
      </c>
      <c r="F6" s="90" t="s">
        <v>122</v>
      </c>
      <c r="G6" s="90" t="s">
        <v>125</v>
      </c>
      <c r="H6" s="92" t="s">
        <v>126</v>
      </c>
      <c r="I6" s="93">
        <f>2*2*1.25</f>
        <v>5</v>
      </c>
      <c r="J6" s="94" t="s">
        <v>127</v>
      </c>
    </row>
    <row r="7" spans="1:9" ht="38.25">
      <c r="A7" s="88">
        <f>(1+A6)</f>
        <v>2</v>
      </c>
      <c r="B7" s="95" t="s">
        <v>128</v>
      </c>
      <c r="C7" s="90" t="s">
        <v>129</v>
      </c>
      <c r="D7" s="95" t="s">
        <v>130</v>
      </c>
      <c r="E7" s="90" t="s">
        <v>131</v>
      </c>
      <c r="F7" s="96" t="s">
        <v>132</v>
      </c>
      <c r="G7" s="96" t="s">
        <v>133</v>
      </c>
      <c r="H7" s="92" t="s">
        <v>134</v>
      </c>
      <c r="I7" s="93">
        <f>5*8*2</f>
        <v>80</v>
      </c>
    </row>
    <row r="8" spans="1:9" ht="63.75">
      <c r="A8" s="88">
        <f>(1+A7)</f>
        <v>3</v>
      </c>
      <c r="B8" s="95" t="s">
        <v>135</v>
      </c>
      <c r="C8" s="90" t="s">
        <v>136</v>
      </c>
      <c r="D8" s="97" t="s">
        <v>137</v>
      </c>
      <c r="E8" s="98" t="s">
        <v>138</v>
      </c>
      <c r="F8" s="96" t="s">
        <v>132</v>
      </c>
      <c r="G8" s="99" t="s">
        <v>139</v>
      </c>
      <c r="H8" s="92" t="s">
        <v>140</v>
      </c>
      <c r="I8" s="93">
        <f>3*3*2</f>
        <v>18</v>
      </c>
    </row>
    <row r="9" spans="1:9" ht="78" customHeight="1">
      <c r="A9" s="88">
        <v>4</v>
      </c>
      <c r="B9" s="95" t="s">
        <v>141</v>
      </c>
      <c r="C9" s="90" t="s">
        <v>132</v>
      </c>
      <c r="D9" s="91" t="s">
        <v>142</v>
      </c>
      <c r="E9" s="91" t="s">
        <v>143</v>
      </c>
      <c r="F9" s="96" t="s">
        <v>144</v>
      </c>
      <c r="G9" s="91" t="s">
        <v>145</v>
      </c>
      <c r="H9" s="92" t="s">
        <v>146</v>
      </c>
      <c r="I9" s="93">
        <f>10*4*2</f>
        <v>80</v>
      </c>
    </row>
    <row r="10" spans="1:9" ht="102.75" customHeight="1">
      <c r="A10" s="88">
        <f>(1+A9)</f>
        <v>5</v>
      </c>
      <c r="B10" s="91" t="s">
        <v>147</v>
      </c>
      <c r="C10" s="90" t="s">
        <v>136</v>
      </c>
      <c r="D10" s="91" t="s">
        <v>148</v>
      </c>
      <c r="E10" s="91" t="s">
        <v>149</v>
      </c>
      <c r="F10" s="96" t="s">
        <v>150</v>
      </c>
      <c r="G10" s="91" t="s">
        <v>151</v>
      </c>
      <c r="H10" s="92" t="s">
        <v>146</v>
      </c>
      <c r="I10" s="93">
        <f>10*2*2</f>
        <v>40</v>
      </c>
    </row>
    <row r="11" spans="1:9" ht="129" customHeight="1">
      <c r="A11" s="88">
        <f>(1+A10)</f>
        <v>6</v>
      </c>
      <c r="B11" s="91" t="s">
        <v>152</v>
      </c>
      <c r="C11" s="90" t="s">
        <v>136</v>
      </c>
      <c r="D11" s="91" t="s">
        <v>153</v>
      </c>
      <c r="E11" s="91" t="s">
        <v>154</v>
      </c>
      <c r="F11" s="96" t="s">
        <v>150</v>
      </c>
      <c r="G11" s="91" t="s">
        <v>155</v>
      </c>
      <c r="H11" s="92" t="s">
        <v>146</v>
      </c>
      <c r="I11" s="93">
        <f>10*1*2</f>
        <v>20</v>
      </c>
    </row>
    <row r="12" spans="1:9" ht="117" customHeight="1">
      <c r="A12" s="88">
        <v>7</v>
      </c>
      <c r="B12" s="91" t="s">
        <v>156</v>
      </c>
      <c r="C12" s="90" t="s">
        <v>157</v>
      </c>
      <c r="D12" s="91" t="s">
        <v>158</v>
      </c>
      <c r="E12" s="91" t="s">
        <v>159</v>
      </c>
      <c r="F12" s="91" t="s">
        <v>160</v>
      </c>
      <c r="G12" s="91" t="s">
        <v>161</v>
      </c>
      <c r="H12" s="100" t="s">
        <v>162</v>
      </c>
      <c r="I12" s="93">
        <f>19*2*2</f>
        <v>76</v>
      </c>
    </row>
    <row r="13" spans="1:9" ht="119.25" customHeight="1">
      <c r="A13" s="88">
        <v>8</v>
      </c>
      <c r="B13" s="91" t="s">
        <v>163</v>
      </c>
      <c r="C13" s="90" t="s">
        <v>164</v>
      </c>
      <c r="D13" s="91" t="s">
        <v>158</v>
      </c>
      <c r="E13" s="91" t="s">
        <v>165</v>
      </c>
      <c r="F13" s="91" t="s">
        <v>166</v>
      </c>
      <c r="G13" s="91" t="s">
        <v>161</v>
      </c>
      <c r="H13" s="100" t="s">
        <v>162</v>
      </c>
      <c r="I13" s="93">
        <f>19*3*1</f>
        <v>57</v>
      </c>
    </row>
    <row r="14" spans="1:10" ht="63.75">
      <c r="A14" s="88">
        <v>9</v>
      </c>
      <c r="B14" s="91" t="s">
        <v>167</v>
      </c>
      <c r="C14" s="91" t="s">
        <v>168</v>
      </c>
      <c r="D14" s="91" t="s">
        <v>169</v>
      </c>
      <c r="E14" s="91" t="s">
        <v>170</v>
      </c>
      <c r="F14" s="96" t="s">
        <v>132</v>
      </c>
      <c r="G14" s="90" t="s">
        <v>171</v>
      </c>
      <c r="H14" s="100" t="s">
        <v>172</v>
      </c>
      <c r="I14" s="93">
        <f>19*2*4</f>
        <v>152</v>
      </c>
      <c r="J14" s="101" t="s">
        <v>173</v>
      </c>
    </row>
    <row r="15" spans="1:9" ht="12.75">
      <c r="A15" s="102" t="s">
        <v>174</v>
      </c>
      <c r="B15" s="102"/>
      <c r="C15" s="102"/>
      <c r="D15" s="102"/>
      <c r="E15" s="102"/>
      <c r="F15" s="102"/>
      <c r="G15" s="102"/>
      <c r="H15" s="102"/>
      <c r="I15" s="103">
        <f>SUM(I6:I14)</f>
        <v>528</v>
      </c>
    </row>
    <row r="16" spans="1:9" s="106" customFormat="1" ht="15.75">
      <c r="A16" s="104" t="s">
        <v>175</v>
      </c>
      <c r="B16" s="104"/>
      <c r="C16" s="104"/>
      <c r="D16" s="104"/>
      <c r="E16" s="104"/>
      <c r="F16" s="104"/>
      <c r="G16" s="104"/>
      <c r="H16" s="104"/>
      <c r="I16" s="105">
        <f>Plan2!N5+0</f>
        <v>-192</v>
      </c>
    </row>
    <row r="17" spans="1:9" ht="12.75">
      <c r="A17" s="107" t="s">
        <v>176</v>
      </c>
      <c r="B17" s="107"/>
      <c r="C17" s="107"/>
      <c r="D17" s="107"/>
      <c r="E17" s="107"/>
      <c r="F17" s="107"/>
      <c r="G17" s="107"/>
      <c r="H17" s="107"/>
      <c r="I17" s="108">
        <f>I16-I15</f>
        <v>-720</v>
      </c>
    </row>
    <row r="18" spans="1:9" ht="13.5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ht="16.5">
      <c r="A19" s="83" t="s">
        <v>4</v>
      </c>
      <c r="B19" s="83"/>
      <c r="C19" s="83"/>
      <c r="D19" s="83"/>
      <c r="E19" s="83"/>
      <c r="F19" s="83"/>
      <c r="G19" s="83"/>
      <c r="H19" s="83"/>
      <c r="I19" s="83"/>
    </row>
    <row r="20" spans="1:9" ht="16.5" customHeight="1">
      <c r="A20" s="84" t="s">
        <v>111</v>
      </c>
      <c r="B20" s="84" t="s">
        <v>112</v>
      </c>
      <c r="C20" s="85" t="s">
        <v>113</v>
      </c>
      <c r="D20" s="84" t="s">
        <v>114</v>
      </c>
      <c r="E20" s="85" t="s">
        <v>115</v>
      </c>
      <c r="F20" s="84" t="s">
        <v>116</v>
      </c>
      <c r="G20" s="84" t="s">
        <v>117</v>
      </c>
      <c r="H20" s="110" t="s">
        <v>118</v>
      </c>
      <c r="I20" s="110"/>
    </row>
    <row r="21" spans="1:9" ht="16.5" customHeight="1">
      <c r="A21" s="84"/>
      <c r="B21" s="84"/>
      <c r="C21" s="85"/>
      <c r="D21" s="84"/>
      <c r="E21" s="85"/>
      <c r="F21" s="84"/>
      <c r="G21" s="84"/>
      <c r="H21" s="111" t="s">
        <v>119</v>
      </c>
      <c r="I21" s="111" t="s">
        <v>120</v>
      </c>
    </row>
    <row r="22" spans="1:10" ht="39" customHeight="1">
      <c r="A22" s="88">
        <v>1</v>
      </c>
      <c r="B22" s="89" t="s">
        <v>121</v>
      </c>
      <c r="C22" s="90" t="s">
        <v>122</v>
      </c>
      <c r="D22" s="91" t="s">
        <v>123</v>
      </c>
      <c r="E22" s="91" t="s">
        <v>124</v>
      </c>
      <c r="F22" s="90" t="s">
        <v>122</v>
      </c>
      <c r="G22" s="90" t="s">
        <v>125</v>
      </c>
      <c r="H22" s="92" t="s">
        <v>177</v>
      </c>
      <c r="I22" s="93">
        <f>2*2*1</f>
        <v>4</v>
      </c>
      <c r="J22" s="94" t="s">
        <v>127</v>
      </c>
    </row>
    <row r="23" spans="1:9" ht="38.25">
      <c r="A23" s="88">
        <f>(1+A22)</f>
        <v>2</v>
      </c>
      <c r="B23" s="95" t="s">
        <v>178</v>
      </c>
      <c r="C23" s="90" t="s">
        <v>129</v>
      </c>
      <c r="D23" s="95" t="s">
        <v>130</v>
      </c>
      <c r="E23" s="90" t="s">
        <v>131</v>
      </c>
      <c r="F23" s="96" t="s">
        <v>132</v>
      </c>
      <c r="G23" s="96" t="s">
        <v>133</v>
      </c>
      <c r="H23" s="92">
        <v>39845</v>
      </c>
      <c r="I23" s="93">
        <f>1*4*3</f>
        <v>12</v>
      </c>
    </row>
    <row r="24" spans="1:9" ht="63.75">
      <c r="A24" s="88">
        <f>(1+A23)</f>
        <v>3</v>
      </c>
      <c r="B24" s="95" t="s">
        <v>135</v>
      </c>
      <c r="C24" s="90" t="s">
        <v>136</v>
      </c>
      <c r="D24" s="95" t="s">
        <v>137</v>
      </c>
      <c r="E24" s="98" t="s">
        <v>138</v>
      </c>
      <c r="F24" s="96" t="s">
        <v>132</v>
      </c>
      <c r="G24" s="90" t="s">
        <v>179</v>
      </c>
      <c r="H24" s="92" t="s">
        <v>180</v>
      </c>
      <c r="I24" s="93">
        <f>3*1*2</f>
        <v>6</v>
      </c>
    </row>
    <row r="25" spans="1:9" ht="51" customHeight="1">
      <c r="A25" s="88">
        <f>(1+A24)</f>
        <v>4</v>
      </c>
      <c r="B25" s="95" t="s">
        <v>181</v>
      </c>
      <c r="C25" s="90" t="s">
        <v>132</v>
      </c>
      <c r="D25" s="95" t="s">
        <v>182</v>
      </c>
      <c r="E25" s="98" t="s">
        <v>183</v>
      </c>
      <c r="F25" s="96" t="s">
        <v>132</v>
      </c>
      <c r="G25" s="90" t="s">
        <v>184</v>
      </c>
      <c r="H25" s="92" t="s">
        <v>185</v>
      </c>
      <c r="I25" s="93">
        <f>17*2*2.5</f>
        <v>85</v>
      </c>
    </row>
    <row r="26" spans="1:9" ht="70.5" customHeight="1">
      <c r="A26" s="88">
        <f>(1+A25)</f>
        <v>5</v>
      </c>
      <c r="B26" s="95" t="s">
        <v>186</v>
      </c>
      <c r="C26" s="90" t="s">
        <v>132</v>
      </c>
      <c r="D26" s="95" t="s">
        <v>187</v>
      </c>
      <c r="E26" s="98" t="s">
        <v>188</v>
      </c>
      <c r="F26" s="96" t="s">
        <v>189</v>
      </c>
      <c r="G26" s="90" t="s">
        <v>190</v>
      </c>
      <c r="H26" s="92">
        <v>39848</v>
      </c>
      <c r="I26" s="93">
        <f>1*4*2</f>
        <v>8</v>
      </c>
    </row>
    <row r="27" spans="1:9" ht="70.5" customHeight="1">
      <c r="A27" s="88">
        <v>6</v>
      </c>
      <c r="B27" s="95" t="s">
        <v>141</v>
      </c>
      <c r="C27" s="90" t="s">
        <v>132</v>
      </c>
      <c r="D27" s="91" t="s">
        <v>142</v>
      </c>
      <c r="E27" s="91" t="s">
        <v>143</v>
      </c>
      <c r="F27" s="96" t="s">
        <v>144</v>
      </c>
      <c r="G27" s="91" t="s">
        <v>145</v>
      </c>
      <c r="H27" s="92" t="s">
        <v>191</v>
      </c>
      <c r="I27" s="93">
        <f>5*4*3</f>
        <v>60</v>
      </c>
    </row>
    <row r="28" spans="1:9" ht="104.25" customHeight="1">
      <c r="A28" s="88">
        <v>7</v>
      </c>
      <c r="B28" s="91" t="s">
        <v>147</v>
      </c>
      <c r="C28" s="90" t="s">
        <v>136</v>
      </c>
      <c r="D28" s="91" t="s">
        <v>148</v>
      </c>
      <c r="E28" s="91" t="s">
        <v>149</v>
      </c>
      <c r="F28" s="96" t="s">
        <v>150</v>
      </c>
      <c r="G28" s="91" t="s">
        <v>151</v>
      </c>
      <c r="H28" s="92" t="s">
        <v>191</v>
      </c>
      <c r="I28" s="93">
        <f>5*2*3</f>
        <v>30</v>
      </c>
    </row>
    <row r="29" spans="1:9" ht="116.25" customHeight="1">
      <c r="A29" s="88">
        <v>8</v>
      </c>
      <c r="B29" s="91" t="s">
        <v>152</v>
      </c>
      <c r="C29" s="90" t="s">
        <v>136</v>
      </c>
      <c r="D29" s="91" t="s">
        <v>153</v>
      </c>
      <c r="E29" s="91" t="s">
        <v>154</v>
      </c>
      <c r="F29" s="96" t="s">
        <v>150</v>
      </c>
      <c r="G29" s="91" t="s">
        <v>155</v>
      </c>
      <c r="H29" s="92" t="s">
        <v>191</v>
      </c>
      <c r="I29" s="93">
        <f>5*1*3</f>
        <v>15</v>
      </c>
    </row>
    <row r="30" spans="1:9" ht="75" customHeight="1">
      <c r="A30" s="88">
        <v>9</v>
      </c>
      <c r="B30" s="91" t="s">
        <v>156</v>
      </c>
      <c r="C30" s="90" t="s">
        <v>157</v>
      </c>
      <c r="D30" s="91" t="s">
        <v>158</v>
      </c>
      <c r="E30" s="91" t="s">
        <v>159</v>
      </c>
      <c r="F30" s="90" t="s">
        <v>160</v>
      </c>
      <c r="G30" s="91" t="s">
        <v>161</v>
      </c>
      <c r="H30" s="100" t="s">
        <v>192</v>
      </c>
      <c r="I30" s="93">
        <f>12*2*2</f>
        <v>48</v>
      </c>
    </row>
    <row r="31" spans="1:9" ht="50.25" customHeight="1">
      <c r="A31" s="88">
        <v>10</v>
      </c>
      <c r="B31" s="91" t="s">
        <v>193</v>
      </c>
      <c r="C31" s="90" t="s">
        <v>136</v>
      </c>
      <c r="D31" s="91" t="s">
        <v>194</v>
      </c>
      <c r="E31" s="91" t="s">
        <v>195</v>
      </c>
      <c r="F31" s="96" t="s">
        <v>196</v>
      </c>
      <c r="G31" s="91" t="s">
        <v>197</v>
      </c>
      <c r="H31" s="100" t="s">
        <v>192</v>
      </c>
      <c r="I31" s="93">
        <f>12*3*1</f>
        <v>36</v>
      </c>
    </row>
    <row r="32" spans="1:9" ht="77.25" customHeight="1">
      <c r="A32" s="88">
        <v>11</v>
      </c>
      <c r="B32" s="91" t="s">
        <v>198</v>
      </c>
      <c r="C32" s="90" t="s">
        <v>136</v>
      </c>
      <c r="D32" s="91" t="s">
        <v>199</v>
      </c>
      <c r="E32" s="91" t="s">
        <v>200</v>
      </c>
      <c r="F32" s="96" t="s">
        <v>201</v>
      </c>
      <c r="G32" s="91" t="s">
        <v>202</v>
      </c>
      <c r="H32" s="100" t="s">
        <v>185</v>
      </c>
      <c r="I32" s="93">
        <f>17*2*2</f>
        <v>68</v>
      </c>
    </row>
    <row r="33" spans="1:9" ht="66" customHeight="1">
      <c r="A33" s="88"/>
      <c r="B33" s="91" t="s">
        <v>203</v>
      </c>
      <c r="C33" s="90" t="s">
        <v>204</v>
      </c>
      <c r="D33" s="91" t="s">
        <v>205</v>
      </c>
      <c r="E33" s="91" t="s">
        <v>206</v>
      </c>
      <c r="F33" s="96" t="s">
        <v>207</v>
      </c>
      <c r="G33" s="91" t="s">
        <v>208</v>
      </c>
      <c r="H33" s="100" t="s">
        <v>209</v>
      </c>
      <c r="I33" s="93">
        <f>12*4*1</f>
        <v>48</v>
      </c>
    </row>
    <row r="34" spans="1:9" ht="79.5" customHeight="1">
      <c r="A34" s="88">
        <v>12</v>
      </c>
      <c r="B34" s="91" t="s">
        <v>210</v>
      </c>
      <c r="C34" s="90" t="s">
        <v>211</v>
      </c>
      <c r="D34" s="91" t="s">
        <v>212</v>
      </c>
      <c r="E34" s="91" t="s">
        <v>213</v>
      </c>
      <c r="F34" s="96" t="s">
        <v>132</v>
      </c>
      <c r="G34" s="90" t="s">
        <v>214</v>
      </c>
      <c r="H34" s="92" t="s">
        <v>180</v>
      </c>
      <c r="I34" s="93">
        <f>3*1.5*4</f>
        <v>18</v>
      </c>
    </row>
    <row r="35" spans="1:10" ht="63.75">
      <c r="A35" s="88">
        <v>13</v>
      </c>
      <c r="B35" s="91" t="s">
        <v>167</v>
      </c>
      <c r="C35" s="91" t="s">
        <v>168</v>
      </c>
      <c r="D35" s="91" t="s">
        <v>169</v>
      </c>
      <c r="E35" s="91" t="s">
        <v>170</v>
      </c>
      <c r="F35" s="96" t="s">
        <v>132</v>
      </c>
      <c r="G35" s="90" t="s">
        <v>171</v>
      </c>
      <c r="H35" s="100" t="s">
        <v>185</v>
      </c>
      <c r="I35" s="112">
        <v>106</v>
      </c>
      <c r="J35" s="101" t="s">
        <v>173</v>
      </c>
    </row>
    <row r="36" spans="1:9" ht="12.75">
      <c r="A36" s="102" t="s">
        <v>174</v>
      </c>
      <c r="B36" s="102"/>
      <c r="C36" s="102"/>
      <c r="D36" s="102"/>
      <c r="E36" s="102"/>
      <c r="F36" s="102"/>
      <c r="G36" s="102"/>
      <c r="H36" s="102"/>
      <c r="I36" s="103">
        <f>SUM(I22:I35)</f>
        <v>544</v>
      </c>
    </row>
    <row r="37" spans="1:9" s="106" customFormat="1" ht="15.75">
      <c r="A37" s="104" t="s">
        <v>215</v>
      </c>
      <c r="B37" s="104"/>
      <c r="C37" s="104"/>
      <c r="D37" s="104"/>
      <c r="E37" s="104"/>
      <c r="F37" s="104"/>
      <c r="G37" s="104"/>
      <c r="H37" s="104"/>
      <c r="I37" s="105">
        <f>Plan2!N6+0</f>
        <v>-96</v>
      </c>
    </row>
    <row r="38" spans="1:9" ht="13.5">
      <c r="A38" s="113" t="s">
        <v>176</v>
      </c>
      <c r="B38" s="113"/>
      <c r="C38" s="113"/>
      <c r="D38" s="113"/>
      <c r="E38" s="113"/>
      <c r="F38" s="113"/>
      <c r="G38" s="113"/>
      <c r="H38" s="113"/>
      <c r="I38" s="114">
        <f>I37-I36</f>
        <v>-640</v>
      </c>
    </row>
    <row r="39" ht="13.5"/>
    <row r="40" spans="1:9" ht="16.5">
      <c r="A40" s="83" t="s">
        <v>5</v>
      </c>
      <c r="B40" s="83"/>
      <c r="C40" s="83"/>
      <c r="D40" s="83"/>
      <c r="E40" s="83"/>
      <c r="F40" s="83"/>
      <c r="G40" s="83"/>
      <c r="H40" s="83"/>
      <c r="I40" s="83"/>
    </row>
    <row r="41" spans="1:9" ht="16.5" customHeight="1">
      <c r="A41" s="84" t="s">
        <v>111</v>
      </c>
      <c r="B41" s="84" t="s">
        <v>112</v>
      </c>
      <c r="C41" s="85" t="s">
        <v>113</v>
      </c>
      <c r="D41" s="84" t="s">
        <v>114</v>
      </c>
      <c r="E41" s="84" t="s">
        <v>115</v>
      </c>
      <c r="F41" s="84" t="s">
        <v>116</v>
      </c>
      <c r="G41" s="84" t="s">
        <v>117</v>
      </c>
      <c r="H41" s="110" t="s">
        <v>118</v>
      </c>
      <c r="I41" s="110"/>
    </row>
    <row r="42" spans="1:9" ht="16.5" customHeight="1">
      <c r="A42" s="84"/>
      <c r="B42" s="84"/>
      <c r="C42" s="85"/>
      <c r="D42" s="84"/>
      <c r="E42" s="84"/>
      <c r="F42" s="84"/>
      <c r="G42" s="84"/>
      <c r="H42" s="111" t="s">
        <v>119</v>
      </c>
      <c r="I42" s="111" t="s">
        <v>120</v>
      </c>
    </row>
    <row r="43" spans="1:10" ht="40.5" customHeight="1">
      <c r="A43" s="88">
        <v>1</v>
      </c>
      <c r="B43" s="89" t="s">
        <v>121</v>
      </c>
      <c r="C43" s="90" t="s">
        <v>216</v>
      </c>
      <c r="D43" s="91" t="s">
        <v>217</v>
      </c>
      <c r="E43" s="115" t="s">
        <v>218</v>
      </c>
      <c r="F43" s="96" t="s">
        <v>219</v>
      </c>
      <c r="G43" s="96" t="s">
        <v>220</v>
      </c>
      <c r="H43" s="100" t="s">
        <v>221</v>
      </c>
      <c r="I43" s="93">
        <f>10*2*2</f>
        <v>40</v>
      </c>
      <c r="J43" s="94" t="s">
        <v>127</v>
      </c>
    </row>
    <row r="44" spans="1:9" ht="51">
      <c r="A44" s="88">
        <f>(1+A43)</f>
        <v>2</v>
      </c>
      <c r="B44" s="89" t="s">
        <v>121</v>
      </c>
      <c r="C44" s="90" t="s">
        <v>122</v>
      </c>
      <c r="D44" s="91" t="s">
        <v>123</v>
      </c>
      <c r="E44" s="91" t="s">
        <v>124</v>
      </c>
      <c r="F44" s="90" t="s">
        <v>122</v>
      </c>
      <c r="G44" s="90" t="s">
        <v>125</v>
      </c>
      <c r="H44" s="92" t="s">
        <v>222</v>
      </c>
      <c r="I44" s="93">
        <f>2*2*1</f>
        <v>4</v>
      </c>
    </row>
    <row r="45" spans="1:9" ht="89.25">
      <c r="A45" s="88">
        <f>(1+A44)</f>
        <v>3</v>
      </c>
      <c r="B45" s="95" t="s">
        <v>135</v>
      </c>
      <c r="C45" s="90" t="s">
        <v>132</v>
      </c>
      <c r="D45" s="91" t="s">
        <v>223</v>
      </c>
      <c r="E45" s="91" t="s">
        <v>224</v>
      </c>
      <c r="F45" s="90" t="s">
        <v>225</v>
      </c>
      <c r="G45" s="90" t="s">
        <v>226</v>
      </c>
      <c r="H45" s="92" t="s">
        <v>227</v>
      </c>
      <c r="I45" s="93">
        <f>5*1*4</f>
        <v>20</v>
      </c>
    </row>
    <row r="46" spans="1:9" ht="63.75">
      <c r="A46" s="88">
        <f>(1+A45)</f>
        <v>4</v>
      </c>
      <c r="B46" s="95" t="s">
        <v>135</v>
      </c>
      <c r="C46" s="90" t="s">
        <v>136</v>
      </c>
      <c r="D46" s="95" t="s">
        <v>137</v>
      </c>
      <c r="E46" s="98" t="s">
        <v>138</v>
      </c>
      <c r="F46" s="96" t="s">
        <v>132</v>
      </c>
      <c r="G46" s="90" t="s">
        <v>139</v>
      </c>
      <c r="H46" s="92" t="s">
        <v>228</v>
      </c>
      <c r="I46" s="93">
        <f>5*1*1</f>
        <v>5</v>
      </c>
    </row>
    <row r="47" spans="1:9" ht="39" customHeight="1">
      <c r="A47" s="88">
        <f>(1+A46)</f>
        <v>5</v>
      </c>
      <c r="B47" s="95" t="s">
        <v>181</v>
      </c>
      <c r="C47" s="90" t="s">
        <v>132</v>
      </c>
      <c r="D47" s="95" t="s">
        <v>229</v>
      </c>
      <c r="E47" s="98" t="s">
        <v>183</v>
      </c>
      <c r="F47" s="96" t="s">
        <v>132</v>
      </c>
      <c r="G47" s="90" t="s">
        <v>230</v>
      </c>
      <c r="H47" s="92" t="s">
        <v>231</v>
      </c>
      <c r="I47" s="93">
        <f>17*2*4</f>
        <v>136</v>
      </c>
    </row>
    <row r="48" spans="1:9" ht="66" customHeight="1">
      <c r="A48" s="88">
        <f>(1+A47)</f>
        <v>6</v>
      </c>
      <c r="B48" s="95" t="s">
        <v>186</v>
      </c>
      <c r="C48" s="90" t="s">
        <v>132</v>
      </c>
      <c r="D48" s="116" t="s">
        <v>187</v>
      </c>
      <c r="E48" s="98" t="s">
        <v>188</v>
      </c>
      <c r="F48" s="96" t="s">
        <v>189</v>
      </c>
      <c r="G48" s="90" t="s">
        <v>190</v>
      </c>
      <c r="H48" s="92">
        <v>39876</v>
      </c>
      <c r="I48" s="93">
        <f>1*4*2</f>
        <v>8</v>
      </c>
    </row>
    <row r="49" spans="1:9" ht="64.5" customHeight="1">
      <c r="A49" s="88">
        <v>7</v>
      </c>
      <c r="B49" s="95" t="s">
        <v>141</v>
      </c>
      <c r="C49" s="90" t="s">
        <v>132</v>
      </c>
      <c r="D49" s="91" t="s">
        <v>142</v>
      </c>
      <c r="E49" s="91" t="s">
        <v>143</v>
      </c>
      <c r="F49" s="96" t="s">
        <v>144</v>
      </c>
      <c r="G49" s="91" t="s">
        <v>145</v>
      </c>
      <c r="H49" s="92" t="s">
        <v>221</v>
      </c>
      <c r="I49" s="93">
        <f>23*2*3</f>
        <v>138</v>
      </c>
    </row>
    <row r="50" spans="1:9" ht="103.5" customHeight="1">
      <c r="A50" s="88">
        <v>8</v>
      </c>
      <c r="B50" s="91" t="s">
        <v>147</v>
      </c>
      <c r="C50" s="90" t="s">
        <v>136</v>
      </c>
      <c r="D50" s="91" t="s">
        <v>148</v>
      </c>
      <c r="E50" s="91" t="s">
        <v>149</v>
      </c>
      <c r="F50" s="90" t="s">
        <v>150</v>
      </c>
      <c r="G50" s="91" t="s">
        <v>151</v>
      </c>
      <c r="H50" s="92" t="s">
        <v>221</v>
      </c>
      <c r="I50" s="93">
        <f>23*1*3</f>
        <v>69</v>
      </c>
    </row>
    <row r="51" spans="1:34" s="118" customFormat="1" ht="102" customHeight="1">
      <c r="A51" s="88">
        <v>9</v>
      </c>
      <c r="B51" s="91" t="s">
        <v>152</v>
      </c>
      <c r="C51" s="90" t="s">
        <v>136</v>
      </c>
      <c r="D51" s="91" t="s">
        <v>153</v>
      </c>
      <c r="E51" s="91" t="s">
        <v>154</v>
      </c>
      <c r="F51" s="90" t="s">
        <v>150</v>
      </c>
      <c r="G51" s="91" t="s">
        <v>155</v>
      </c>
      <c r="H51" s="92" t="s">
        <v>221</v>
      </c>
      <c r="I51" s="93">
        <f>23*0.5*2</f>
        <v>23</v>
      </c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9" ht="53.25" customHeight="1">
      <c r="A52" s="88">
        <v>10</v>
      </c>
      <c r="B52" s="91" t="s">
        <v>232</v>
      </c>
      <c r="C52" s="90" t="s">
        <v>136</v>
      </c>
      <c r="D52" s="91" t="s">
        <v>233</v>
      </c>
      <c r="E52" s="91" t="s">
        <v>234</v>
      </c>
      <c r="F52" s="96" t="s">
        <v>235</v>
      </c>
      <c r="G52" s="91" t="s">
        <v>236</v>
      </c>
      <c r="H52" s="92" t="s">
        <v>221</v>
      </c>
      <c r="I52" s="93">
        <f>23*1*2</f>
        <v>46</v>
      </c>
    </row>
    <row r="53" spans="1:9" ht="63.75">
      <c r="A53" s="88">
        <v>11</v>
      </c>
      <c r="B53" s="91" t="s">
        <v>193</v>
      </c>
      <c r="C53" s="90" t="s">
        <v>136</v>
      </c>
      <c r="D53" s="91" t="s">
        <v>194</v>
      </c>
      <c r="E53" s="91" t="s">
        <v>195</v>
      </c>
      <c r="F53" s="96" t="s">
        <v>196</v>
      </c>
      <c r="G53" s="91" t="s">
        <v>197</v>
      </c>
      <c r="H53" s="100" t="s">
        <v>237</v>
      </c>
      <c r="I53" s="93">
        <f aca="true" t="shared" si="0" ref="I53:I54">15*2*1</f>
        <v>30</v>
      </c>
    </row>
    <row r="54" spans="1:9" ht="76.5">
      <c r="A54" s="88">
        <v>12</v>
      </c>
      <c r="B54" s="91" t="s">
        <v>238</v>
      </c>
      <c r="C54" s="90" t="s">
        <v>136</v>
      </c>
      <c r="D54" s="91" t="s">
        <v>239</v>
      </c>
      <c r="E54" s="91" t="s">
        <v>206</v>
      </c>
      <c r="F54" s="96" t="s">
        <v>240</v>
      </c>
      <c r="G54" s="91" t="s">
        <v>197</v>
      </c>
      <c r="H54" s="100" t="s">
        <v>237</v>
      </c>
      <c r="I54" s="93">
        <f t="shared" si="0"/>
        <v>30</v>
      </c>
    </row>
    <row r="55" spans="1:9" ht="58.5" customHeight="1">
      <c r="A55" s="88">
        <v>13</v>
      </c>
      <c r="B55" s="91" t="s">
        <v>241</v>
      </c>
      <c r="C55" s="90" t="s">
        <v>136</v>
      </c>
      <c r="D55" s="91" t="s">
        <v>242</v>
      </c>
      <c r="E55" s="91" t="s">
        <v>243</v>
      </c>
      <c r="F55" s="96" t="s">
        <v>240</v>
      </c>
      <c r="G55" s="91" t="s">
        <v>197</v>
      </c>
      <c r="H55" s="100" t="s">
        <v>244</v>
      </c>
      <c r="I55" s="93">
        <f>18*3*1.5</f>
        <v>81</v>
      </c>
    </row>
    <row r="56" spans="1:9" ht="76.5">
      <c r="A56" s="88">
        <v>14</v>
      </c>
      <c r="B56" s="91" t="s">
        <v>203</v>
      </c>
      <c r="C56" s="90" t="s">
        <v>204</v>
      </c>
      <c r="D56" s="91" t="s">
        <v>205</v>
      </c>
      <c r="E56" s="91" t="s">
        <v>206</v>
      </c>
      <c r="F56" s="96" t="s">
        <v>207</v>
      </c>
      <c r="G56" s="91" t="s">
        <v>208</v>
      </c>
      <c r="H56" s="100" t="s">
        <v>245</v>
      </c>
      <c r="I56" s="93">
        <f>12*3*1</f>
        <v>36</v>
      </c>
    </row>
    <row r="57" spans="1:9" ht="78" customHeight="1">
      <c r="A57" s="88">
        <v>15</v>
      </c>
      <c r="B57" s="91" t="s">
        <v>246</v>
      </c>
      <c r="C57" s="90" t="s">
        <v>211</v>
      </c>
      <c r="D57" s="91" t="s">
        <v>247</v>
      </c>
      <c r="E57" s="91" t="s">
        <v>213</v>
      </c>
      <c r="F57" s="96" t="s">
        <v>248</v>
      </c>
      <c r="G57" s="91" t="s">
        <v>208</v>
      </c>
      <c r="H57" s="92" t="s">
        <v>231</v>
      </c>
      <c r="I57" s="93">
        <f>17*1*4</f>
        <v>68</v>
      </c>
    </row>
    <row r="58" spans="1:10" ht="63.75">
      <c r="A58" s="88">
        <v>16</v>
      </c>
      <c r="B58" s="91" t="s">
        <v>167</v>
      </c>
      <c r="C58" s="91" t="s">
        <v>168</v>
      </c>
      <c r="D58" s="91" t="s">
        <v>169</v>
      </c>
      <c r="E58" s="91" t="s">
        <v>170</v>
      </c>
      <c r="F58" s="96" t="s">
        <v>132</v>
      </c>
      <c r="G58" s="90" t="s">
        <v>171</v>
      </c>
      <c r="H58" s="100" t="s">
        <v>249</v>
      </c>
      <c r="I58" s="112">
        <v>186</v>
      </c>
      <c r="J58" s="101" t="s">
        <v>173</v>
      </c>
    </row>
    <row r="59" spans="1:9" ht="12.75">
      <c r="A59" s="102" t="s">
        <v>174</v>
      </c>
      <c r="B59" s="102"/>
      <c r="C59" s="102"/>
      <c r="D59" s="102"/>
      <c r="E59" s="102"/>
      <c r="F59" s="102"/>
      <c r="G59" s="102"/>
      <c r="H59" s="102"/>
      <c r="I59" s="103">
        <f>SUM(I43:I58)</f>
        <v>920</v>
      </c>
    </row>
    <row r="60" spans="1:9" s="106" customFormat="1" ht="15.75">
      <c r="A60" s="104" t="s">
        <v>250</v>
      </c>
      <c r="B60" s="104"/>
      <c r="C60" s="104"/>
      <c r="D60" s="104"/>
      <c r="E60" s="104"/>
      <c r="F60" s="104"/>
      <c r="G60" s="104"/>
      <c r="H60" s="104"/>
      <c r="I60" s="105">
        <f>Plan2!N7+0</f>
        <v>40</v>
      </c>
    </row>
    <row r="61" spans="1:9" ht="13.5">
      <c r="A61" s="113" t="s">
        <v>176</v>
      </c>
      <c r="B61" s="113"/>
      <c r="C61" s="113"/>
      <c r="D61" s="113"/>
      <c r="E61" s="113"/>
      <c r="F61" s="113"/>
      <c r="G61" s="113"/>
      <c r="H61" s="113"/>
      <c r="I61" s="114">
        <f>I60-I59</f>
        <v>-880</v>
      </c>
    </row>
    <row r="62" ht="13.5"/>
    <row r="63" spans="1:9" ht="16.5">
      <c r="A63" s="83" t="s">
        <v>87</v>
      </c>
      <c r="B63" s="83"/>
      <c r="C63" s="83"/>
      <c r="D63" s="83"/>
      <c r="E63" s="83"/>
      <c r="F63" s="83"/>
      <c r="G63" s="83"/>
      <c r="H63" s="83"/>
      <c r="I63" s="83"/>
    </row>
    <row r="64" spans="1:9" ht="16.5" customHeight="1">
      <c r="A64" s="84" t="s">
        <v>111</v>
      </c>
      <c r="B64" s="84" t="s">
        <v>112</v>
      </c>
      <c r="C64" s="85" t="s">
        <v>113</v>
      </c>
      <c r="D64" s="84" t="s">
        <v>114</v>
      </c>
      <c r="E64" s="85" t="s">
        <v>115</v>
      </c>
      <c r="F64" s="84" t="s">
        <v>116</v>
      </c>
      <c r="G64" s="84" t="s">
        <v>117</v>
      </c>
      <c r="H64" s="110" t="s">
        <v>118</v>
      </c>
      <c r="I64" s="110"/>
    </row>
    <row r="65" spans="1:9" ht="16.5" customHeight="1">
      <c r="A65" s="84"/>
      <c r="B65" s="84"/>
      <c r="C65" s="85"/>
      <c r="D65" s="84"/>
      <c r="E65" s="85"/>
      <c r="F65" s="84"/>
      <c r="G65" s="84"/>
      <c r="H65" s="111" t="s">
        <v>119</v>
      </c>
      <c r="I65" s="111" t="s">
        <v>120</v>
      </c>
    </row>
    <row r="66" spans="1:10" ht="39.75" customHeight="1">
      <c r="A66" s="88">
        <v>1</v>
      </c>
      <c r="B66" s="89" t="s">
        <v>121</v>
      </c>
      <c r="C66" s="90" t="s">
        <v>122</v>
      </c>
      <c r="D66" s="91" t="s">
        <v>123</v>
      </c>
      <c r="E66" s="91" t="s">
        <v>124</v>
      </c>
      <c r="F66" s="90" t="s">
        <v>122</v>
      </c>
      <c r="G66" s="90" t="s">
        <v>125</v>
      </c>
      <c r="H66" s="92" t="s">
        <v>251</v>
      </c>
      <c r="I66" s="93">
        <f>2*2*1</f>
        <v>4</v>
      </c>
      <c r="J66" s="94" t="s">
        <v>127</v>
      </c>
    </row>
    <row r="67" spans="1:9" ht="51">
      <c r="A67" s="88">
        <f>(1+A66)</f>
        <v>2</v>
      </c>
      <c r="B67" s="89" t="s">
        <v>252</v>
      </c>
      <c r="C67" s="90" t="s">
        <v>129</v>
      </c>
      <c r="D67" s="91" t="s">
        <v>253</v>
      </c>
      <c r="E67" s="91" t="s">
        <v>254</v>
      </c>
      <c r="F67" s="90" t="s">
        <v>225</v>
      </c>
      <c r="G67" s="90" t="s">
        <v>226</v>
      </c>
      <c r="H67" s="92" t="s">
        <v>255</v>
      </c>
      <c r="I67" s="93">
        <f>14*4*3</f>
        <v>168</v>
      </c>
    </row>
    <row r="68" spans="1:9" ht="89.25">
      <c r="A68" s="88">
        <f>(1+A67)</f>
        <v>3</v>
      </c>
      <c r="B68" s="95" t="s">
        <v>135</v>
      </c>
      <c r="C68" s="90" t="s">
        <v>132</v>
      </c>
      <c r="D68" s="91" t="s">
        <v>256</v>
      </c>
      <c r="E68" s="91" t="s">
        <v>224</v>
      </c>
      <c r="F68" s="90" t="s">
        <v>225</v>
      </c>
      <c r="G68" s="90" t="s">
        <v>226</v>
      </c>
      <c r="H68" s="92" t="s">
        <v>257</v>
      </c>
      <c r="I68" s="93">
        <f>5*2*4</f>
        <v>40</v>
      </c>
    </row>
    <row r="69" spans="1:9" ht="38.25">
      <c r="A69" s="88">
        <f>(1+A68)</f>
        <v>4</v>
      </c>
      <c r="B69" s="95" t="s">
        <v>178</v>
      </c>
      <c r="C69" s="90" t="s">
        <v>129</v>
      </c>
      <c r="D69" s="95" t="s">
        <v>258</v>
      </c>
      <c r="E69" s="90" t="s">
        <v>259</v>
      </c>
      <c r="F69" s="96" t="s">
        <v>132</v>
      </c>
      <c r="G69" s="96" t="s">
        <v>133</v>
      </c>
      <c r="H69" s="92">
        <v>39904</v>
      </c>
      <c r="I69" s="93">
        <f>1*3*2</f>
        <v>6</v>
      </c>
    </row>
    <row r="70" spans="1:9" ht="63.75">
      <c r="A70" s="88">
        <f>(1+A69)</f>
        <v>5</v>
      </c>
      <c r="B70" s="95" t="s">
        <v>135</v>
      </c>
      <c r="C70" s="90" t="s">
        <v>136</v>
      </c>
      <c r="D70" s="95" t="s">
        <v>137</v>
      </c>
      <c r="E70" s="98" t="s">
        <v>138</v>
      </c>
      <c r="F70" s="96" t="s">
        <v>132</v>
      </c>
      <c r="G70" s="90" t="s">
        <v>139</v>
      </c>
      <c r="H70" s="92" t="s">
        <v>260</v>
      </c>
      <c r="I70" s="93">
        <f>4*2*1</f>
        <v>8</v>
      </c>
    </row>
    <row r="71" spans="1:9" ht="72" customHeight="1">
      <c r="A71" s="88">
        <f>(1+A70)</f>
        <v>6</v>
      </c>
      <c r="B71" s="95" t="s">
        <v>186</v>
      </c>
      <c r="C71" s="90" t="s">
        <v>132</v>
      </c>
      <c r="D71" s="97" t="s">
        <v>187</v>
      </c>
      <c r="E71" s="98" t="s">
        <v>188</v>
      </c>
      <c r="F71" s="96" t="s">
        <v>189</v>
      </c>
      <c r="G71" s="99" t="s">
        <v>190</v>
      </c>
      <c r="H71" s="92">
        <v>39904</v>
      </c>
      <c r="I71" s="93">
        <f>1*4*2</f>
        <v>8</v>
      </c>
    </row>
    <row r="72" spans="1:9" ht="103.5" customHeight="1">
      <c r="A72" s="88">
        <v>7</v>
      </c>
      <c r="B72" s="95" t="s">
        <v>261</v>
      </c>
      <c r="C72" s="90" t="s">
        <v>132</v>
      </c>
      <c r="D72" s="91" t="s">
        <v>262</v>
      </c>
      <c r="E72" s="91" t="s">
        <v>263</v>
      </c>
      <c r="F72" s="96" t="s">
        <v>264</v>
      </c>
      <c r="G72" s="91" t="s">
        <v>265</v>
      </c>
      <c r="H72" s="92" t="s">
        <v>266</v>
      </c>
      <c r="I72" s="93">
        <f>19*4*1.5</f>
        <v>114</v>
      </c>
    </row>
    <row r="73" spans="1:9" ht="115.5" customHeight="1">
      <c r="A73" s="88">
        <v>8</v>
      </c>
      <c r="B73" s="91" t="s">
        <v>163</v>
      </c>
      <c r="C73" s="90" t="s">
        <v>164</v>
      </c>
      <c r="D73" s="91" t="s">
        <v>158</v>
      </c>
      <c r="E73" s="91" t="s">
        <v>165</v>
      </c>
      <c r="F73" s="91" t="s">
        <v>166</v>
      </c>
      <c r="G73" s="91" t="s">
        <v>161</v>
      </c>
      <c r="H73" s="100" t="s">
        <v>267</v>
      </c>
      <c r="I73" s="93">
        <f>21*3*1</f>
        <v>63</v>
      </c>
    </row>
    <row r="74" spans="1:9" ht="51.75" customHeight="1">
      <c r="A74" s="88">
        <v>9</v>
      </c>
      <c r="B74" s="91" t="s">
        <v>193</v>
      </c>
      <c r="C74" s="90" t="s">
        <v>136</v>
      </c>
      <c r="D74" s="91" t="s">
        <v>194</v>
      </c>
      <c r="E74" s="91" t="s">
        <v>195</v>
      </c>
      <c r="F74" s="96" t="s">
        <v>196</v>
      </c>
      <c r="G74" s="91" t="s">
        <v>197</v>
      </c>
      <c r="H74" s="100" t="s">
        <v>268</v>
      </c>
      <c r="I74" s="93">
        <f aca="true" t="shared" si="1" ref="I74:I75">11*2*1</f>
        <v>22</v>
      </c>
    </row>
    <row r="75" spans="1:9" ht="51.75" customHeight="1">
      <c r="A75" s="88">
        <v>10</v>
      </c>
      <c r="B75" s="91" t="s">
        <v>238</v>
      </c>
      <c r="C75" s="90" t="s">
        <v>136</v>
      </c>
      <c r="D75" s="91" t="s">
        <v>239</v>
      </c>
      <c r="E75" s="91" t="s">
        <v>206</v>
      </c>
      <c r="F75" s="96" t="s">
        <v>240</v>
      </c>
      <c r="G75" s="91" t="s">
        <v>197</v>
      </c>
      <c r="H75" s="100" t="s">
        <v>268</v>
      </c>
      <c r="I75" s="93">
        <f t="shared" si="1"/>
        <v>22</v>
      </c>
    </row>
    <row r="76" spans="1:9" ht="51.75" customHeight="1">
      <c r="A76" s="88">
        <v>11</v>
      </c>
      <c r="B76" s="91" t="s">
        <v>269</v>
      </c>
      <c r="C76" s="90" t="s">
        <v>136</v>
      </c>
      <c r="D76" s="91" t="s">
        <v>270</v>
      </c>
      <c r="E76" s="91" t="s">
        <v>271</v>
      </c>
      <c r="F76" s="96" t="s">
        <v>240</v>
      </c>
      <c r="G76" s="91" t="s">
        <v>197</v>
      </c>
      <c r="H76" s="100" t="s">
        <v>268</v>
      </c>
      <c r="I76" s="93">
        <f>11*4*1</f>
        <v>44</v>
      </c>
    </row>
    <row r="77" spans="1:9" ht="76.5">
      <c r="A77" s="88">
        <v>12</v>
      </c>
      <c r="B77" s="91" t="s">
        <v>203</v>
      </c>
      <c r="C77" s="90" t="s">
        <v>204</v>
      </c>
      <c r="D77" s="91" t="s">
        <v>205</v>
      </c>
      <c r="E77" s="91" t="s">
        <v>206</v>
      </c>
      <c r="F77" s="96" t="s">
        <v>207</v>
      </c>
      <c r="G77" s="91" t="s">
        <v>272</v>
      </c>
      <c r="H77" s="100" t="s">
        <v>268</v>
      </c>
      <c r="I77" s="93">
        <f>11*3*2</f>
        <v>66</v>
      </c>
    </row>
    <row r="78" spans="1:10" ht="63.75" customHeight="1">
      <c r="A78" s="88">
        <v>13</v>
      </c>
      <c r="B78" s="91" t="s">
        <v>167</v>
      </c>
      <c r="C78" s="91" t="s">
        <v>168</v>
      </c>
      <c r="D78" s="91" t="s">
        <v>169</v>
      </c>
      <c r="E78" s="91" t="s">
        <v>170</v>
      </c>
      <c r="F78" s="96" t="s">
        <v>132</v>
      </c>
      <c r="G78" s="90" t="s">
        <v>171</v>
      </c>
      <c r="H78" s="100" t="s">
        <v>273</v>
      </c>
      <c r="I78" s="112">
        <v>155</v>
      </c>
      <c r="J78" s="101" t="s">
        <v>173</v>
      </c>
    </row>
    <row r="79" spans="1:10" ht="39" customHeight="1">
      <c r="A79" s="88">
        <v>14</v>
      </c>
      <c r="B79" s="91" t="s">
        <v>274</v>
      </c>
      <c r="C79" s="90" t="s">
        <v>132</v>
      </c>
      <c r="D79" s="91" t="s">
        <v>275</v>
      </c>
      <c r="E79" s="91" t="s">
        <v>276</v>
      </c>
      <c r="F79" s="96" t="s">
        <v>132</v>
      </c>
      <c r="G79" s="90" t="s">
        <v>131</v>
      </c>
      <c r="H79" s="100" t="s">
        <v>273</v>
      </c>
      <c r="I79" s="112">
        <f>20*4</f>
        <v>80</v>
      </c>
      <c r="J79" s="119" t="s">
        <v>277</v>
      </c>
    </row>
    <row r="80" spans="1:9" ht="12.75">
      <c r="A80" s="102" t="s">
        <v>174</v>
      </c>
      <c r="B80" s="102"/>
      <c r="C80" s="102"/>
      <c r="D80" s="102"/>
      <c r="E80" s="102"/>
      <c r="F80" s="102"/>
      <c r="G80" s="102"/>
      <c r="H80" s="102"/>
      <c r="I80" s="103">
        <f>SUM(I66:I79)</f>
        <v>800</v>
      </c>
    </row>
    <row r="81" spans="1:9" s="106" customFormat="1" ht="15.75">
      <c r="A81" s="104" t="s">
        <v>278</v>
      </c>
      <c r="B81" s="104"/>
      <c r="C81" s="104"/>
      <c r="D81" s="104"/>
      <c r="E81" s="104"/>
      <c r="F81" s="104"/>
      <c r="G81" s="104"/>
      <c r="H81" s="104"/>
      <c r="I81" s="105">
        <f>Plan2!N8+0</f>
        <v>40</v>
      </c>
    </row>
    <row r="82" spans="1:9" ht="13.5">
      <c r="A82" s="113" t="s">
        <v>176</v>
      </c>
      <c r="B82" s="113"/>
      <c r="C82" s="113"/>
      <c r="D82" s="113"/>
      <c r="E82" s="113"/>
      <c r="F82" s="113"/>
      <c r="G82" s="113"/>
      <c r="H82" s="113"/>
      <c r="I82" s="114">
        <f>I81-I80</f>
        <v>-760</v>
      </c>
    </row>
    <row r="83" ht="13.5"/>
    <row r="84" spans="1:9" ht="16.5">
      <c r="A84" s="83" t="s">
        <v>7</v>
      </c>
      <c r="B84" s="83"/>
      <c r="C84" s="83"/>
      <c r="D84" s="83"/>
      <c r="E84" s="83"/>
      <c r="F84" s="83"/>
      <c r="G84" s="83"/>
      <c r="H84" s="83"/>
      <c r="I84" s="83"/>
    </row>
    <row r="85" spans="1:9" ht="16.5" customHeight="1">
      <c r="A85" s="84" t="s">
        <v>111</v>
      </c>
      <c r="B85" s="84" t="s">
        <v>112</v>
      </c>
      <c r="C85" s="85" t="s">
        <v>113</v>
      </c>
      <c r="D85" s="84" t="s">
        <v>114</v>
      </c>
      <c r="E85" s="85" t="s">
        <v>115</v>
      </c>
      <c r="F85" s="84" t="s">
        <v>116</v>
      </c>
      <c r="G85" s="84" t="s">
        <v>117</v>
      </c>
      <c r="H85" s="110" t="s">
        <v>118</v>
      </c>
      <c r="I85" s="110"/>
    </row>
    <row r="86" spans="1:9" ht="16.5" customHeight="1">
      <c r="A86" s="84"/>
      <c r="B86" s="84"/>
      <c r="C86" s="85"/>
      <c r="D86" s="84"/>
      <c r="E86" s="85"/>
      <c r="F86" s="84"/>
      <c r="G86" s="84"/>
      <c r="H86" s="111" t="s">
        <v>119</v>
      </c>
      <c r="I86" s="111" t="s">
        <v>120</v>
      </c>
    </row>
    <row r="87" spans="1:10" ht="25.5" customHeight="1">
      <c r="A87" s="88">
        <v>1</v>
      </c>
      <c r="B87" s="89" t="s">
        <v>121</v>
      </c>
      <c r="C87" s="90" t="s">
        <v>122</v>
      </c>
      <c r="D87" s="91" t="s">
        <v>123</v>
      </c>
      <c r="E87" s="91" t="s">
        <v>124</v>
      </c>
      <c r="F87" s="90" t="s">
        <v>122</v>
      </c>
      <c r="G87" s="91" t="s">
        <v>125</v>
      </c>
      <c r="H87" s="92" t="s">
        <v>279</v>
      </c>
      <c r="I87" s="93">
        <f>2*2*1</f>
        <v>4</v>
      </c>
      <c r="J87" s="94" t="s">
        <v>127</v>
      </c>
    </row>
    <row r="88" spans="1:9" ht="89.25">
      <c r="A88" s="88">
        <f>(1+A87)</f>
        <v>2</v>
      </c>
      <c r="B88" s="95" t="s">
        <v>135</v>
      </c>
      <c r="C88" s="90" t="s">
        <v>132</v>
      </c>
      <c r="D88" s="91" t="s">
        <v>256</v>
      </c>
      <c r="E88" s="91" t="s">
        <v>224</v>
      </c>
      <c r="F88" s="90" t="s">
        <v>225</v>
      </c>
      <c r="G88" s="90" t="s">
        <v>226</v>
      </c>
      <c r="H88" s="92" t="s">
        <v>280</v>
      </c>
      <c r="I88" s="93">
        <f>5*2*4</f>
        <v>40</v>
      </c>
    </row>
    <row r="89" spans="1:9" ht="63.75">
      <c r="A89" s="88">
        <f>(1+A88)</f>
        <v>3</v>
      </c>
      <c r="B89" s="95" t="s">
        <v>135</v>
      </c>
      <c r="C89" s="90" t="s">
        <v>136</v>
      </c>
      <c r="D89" s="95" t="s">
        <v>137</v>
      </c>
      <c r="E89" s="98" t="s">
        <v>138</v>
      </c>
      <c r="F89" s="96" t="s">
        <v>132</v>
      </c>
      <c r="G89" s="90" t="s">
        <v>139</v>
      </c>
      <c r="H89" s="92" t="s">
        <v>281</v>
      </c>
      <c r="I89" s="93">
        <f>10*2*1</f>
        <v>20</v>
      </c>
    </row>
    <row r="90" spans="1:9" ht="69.75" customHeight="1">
      <c r="A90" s="88">
        <f>(1+A89)</f>
        <v>4</v>
      </c>
      <c r="B90" s="95" t="s">
        <v>186</v>
      </c>
      <c r="C90" s="90" t="s">
        <v>132</v>
      </c>
      <c r="D90" s="97" t="s">
        <v>187</v>
      </c>
      <c r="E90" s="98" t="s">
        <v>188</v>
      </c>
      <c r="F90" s="96" t="s">
        <v>189</v>
      </c>
      <c r="G90" s="99" t="s">
        <v>190</v>
      </c>
      <c r="H90" s="92">
        <v>39939</v>
      </c>
      <c r="I90" s="93">
        <f>1*4*2</f>
        <v>8</v>
      </c>
    </row>
    <row r="91" spans="1:9" ht="66" customHeight="1">
      <c r="A91" s="88">
        <f>(1+A90)</f>
        <v>5</v>
      </c>
      <c r="B91" s="95" t="s">
        <v>141</v>
      </c>
      <c r="C91" s="90" t="s">
        <v>132</v>
      </c>
      <c r="D91" s="91" t="s">
        <v>142</v>
      </c>
      <c r="E91" s="91" t="s">
        <v>143</v>
      </c>
      <c r="F91" s="96" t="s">
        <v>144</v>
      </c>
      <c r="G91" s="91" t="s">
        <v>145</v>
      </c>
      <c r="H91" s="92" t="s">
        <v>282</v>
      </c>
      <c r="I91" s="93">
        <f aca="true" t="shared" si="2" ref="I91:I92">15*2*3</f>
        <v>90</v>
      </c>
    </row>
    <row r="92" spans="1:9" ht="100.5" customHeight="1">
      <c r="A92" s="88">
        <v>6</v>
      </c>
      <c r="B92" s="91" t="s">
        <v>147</v>
      </c>
      <c r="C92" s="90" t="s">
        <v>136</v>
      </c>
      <c r="D92" s="91" t="s">
        <v>148</v>
      </c>
      <c r="E92" s="91" t="s">
        <v>149</v>
      </c>
      <c r="F92" s="96" t="s">
        <v>150</v>
      </c>
      <c r="G92" s="91" t="s">
        <v>151</v>
      </c>
      <c r="H92" s="92" t="s">
        <v>282</v>
      </c>
      <c r="I92" s="93">
        <f t="shared" si="2"/>
        <v>90</v>
      </c>
    </row>
    <row r="93" spans="1:9" ht="102" customHeight="1">
      <c r="A93" s="88">
        <v>7</v>
      </c>
      <c r="B93" s="91" t="s">
        <v>152</v>
      </c>
      <c r="C93" s="90" t="s">
        <v>136</v>
      </c>
      <c r="D93" s="91" t="s">
        <v>153</v>
      </c>
      <c r="E93" s="91" t="s">
        <v>154</v>
      </c>
      <c r="F93" s="96" t="s">
        <v>150</v>
      </c>
      <c r="G93" s="91" t="s">
        <v>155</v>
      </c>
      <c r="H93" s="92" t="s">
        <v>282</v>
      </c>
      <c r="I93" s="93">
        <f>15*1*3</f>
        <v>45</v>
      </c>
    </row>
    <row r="94" spans="1:9" ht="118.5" customHeight="1">
      <c r="A94" s="88">
        <v>8</v>
      </c>
      <c r="B94" s="91" t="s">
        <v>156</v>
      </c>
      <c r="C94" s="90" t="s">
        <v>157</v>
      </c>
      <c r="D94" s="91" t="s">
        <v>158</v>
      </c>
      <c r="E94" s="91" t="s">
        <v>159</v>
      </c>
      <c r="F94" s="91" t="s">
        <v>160</v>
      </c>
      <c r="G94" s="91" t="s">
        <v>161</v>
      </c>
      <c r="H94" s="100" t="s">
        <v>283</v>
      </c>
      <c r="I94" s="93">
        <f>16*2*2</f>
        <v>64</v>
      </c>
    </row>
    <row r="95" spans="1:9" ht="102.75" customHeight="1">
      <c r="A95" s="88">
        <v>9</v>
      </c>
      <c r="B95" s="91" t="s">
        <v>284</v>
      </c>
      <c r="C95" s="90" t="s">
        <v>132</v>
      </c>
      <c r="D95" s="91" t="s">
        <v>285</v>
      </c>
      <c r="E95" s="91" t="s">
        <v>286</v>
      </c>
      <c r="F95" s="96" t="s">
        <v>264</v>
      </c>
      <c r="G95" s="91" t="s">
        <v>265</v>
      </c>
      <c r="H95" s="100" t="s">
        <v>287</v>
      </c>
      <c r="I95" s="93">
        <f>19*3*2</f>
        <v>114</v>
      </c>
    </row>
    <row r="96" spans="1:9" ht="76.5">
      <c r="A96" s="88">
        <v>10</v>
      </c>
      <c r="B96" s="91" t="s">
        <v>238</v>
      </c>
      <c r="C96" s="90" t="s">
        <v>136</v>
      </c>
      <c r="D96" s="91" t="s">
        <v>239</v>
      </c>
      <c r="E96" s="91" t="s">
        <v>206</v>
      </c>
      <c r="F96" s="96" t="s">
        <v>240</v>
      </c>
      <c r="G96" s="91" t="s">
        <v>197</v>
      </c>
      <c r="H96" s="100" t="s">
        <v>282</v>
      </c>
      <c r="I96" s="93">
        <f>15*2*1</f>
        <v>30</v>
      </c>
    </row>
    <row r="97" spans="1:10" ht="63.75">
      <c r="A97" s="88">
        <v>11</v>
      </c>
      <c r="B97" s="91" t="s">
        <v>167</v>
      </c>
      <c r="C97" s="91" t="s">
        <v>168</v>
      </c>
      <c r="D97" s="91" t="s">
        <v>169</v>
      </c>
      <c r="E97" s="91" t="s">
        <v>170</v>
      </c>
      <c r="F97" s="96" t="s">
        <v>132</v>
      </c>
      <c r="G97" s="90" t="s">
        <v>171</v>
      </c>
      <c r="H97" s="100" t="s">
        <v>288</v>
      </c>
      <c r="I97" s="112">
        <v>175</v>
      </c>
      <c r="J97" s="101" t="s">
        <v>173</v>
      </c>
    </row>
    <row r="98" spans="1:10" ht="40.5" customHeight="1">
      <c r="A98" s="120">
        <v>12</v>
      </c>
      <c r="B98" s="91" t="s">
        <v>289</v>
      </c>
      <c r="C98" s="90" t="s">
        <v>132</v>
      </c>
      <c r="D98" s="91" t="s">
        <v>275</v>
      </c>
      <c r="E98" s="91" t="s">
        <v>276</v>
      </c>
      <c r="F98" s="96" t="s">
        <v>132</v>
      </c>
      <c r="G98" s="90" t="s">
        <v>131</v>
      </c>
      <c r="H98" s="100" t="s">
        <v>288</v>
      </c>
      <c r="I98" s="112">
        <f>20*4</f>
        <v>80</v>
      </c>
      <c r="J98" s="119" t="s">
        <v>277</v>
      </c>
    </row>
    <row r="99" spans="1:10" ht="45" customHeight="1">
      <c r="A99" s="120">
        <v>13</v>
      </c>
      <c r="B99" s="91" t="s">
        <v>290</v>
      </c>
      <c r="C99" s="90" t="s">
        <v>132</v>
      </c>
      <c r="D99" s="91" t="s">
        <v>291</v>
      </c>
      <c r="E99" s="91" t="s">
        <v>292</v>
      </c>
      <c r="F99" s="96" t="s">
        <v>132</v>
      </c>
      <c r="G99" s="90" t="s">
        <v>131</v>
      </c>
      <c r="H99" s="100" t="s">
        <v>288</v>
      </c>
      <c r="I99" s="112">
        <f>40*2</f>
        <v>80</v>
      </c>
      <c r="J99" s="119" t="s">
        <v>277</v>
      </c>
    </row>
    <row r="100" spans="1:9" ht="12.75">
      <c r="A100" s="102" t="s">
        <v>174</v>
      </c>
      <c r="B100" s="102"/>
      <c r="C100" s="102"/>
      <c r="D100" s="102"/>
      <c r="E100" s="102"/>
      <c r="F100" s="102"/>
      <c r="G100" s="102"/>
      <c r="H100" s="102"/>
      <c r="I100" s="103">
        <f>SUM(I87:I99)</f>
        <v>840</v>
      </c>
    </row>
    <row r="101" spans="1:9" s="106" customFormat="1" ht="15.75">
      <c r="A101" s="104" t="s">
        <v>293</v>
      </c>
      <c r="B101" s="104"/>
      <c r="C101" s="104"/>
      <c r="D101" s="104"/>
      <c r="E101" s="104"/>
      <c r="F101" s="104"/>
      <c r="G101" s="104"/>
      <c r="H101" s="104"/>
      <c r="I101" s="105">
        <f>Plan2!N9+0</f>
        <v>40</v>
      </c>
    </row>
    <row r="102" spans="1:9" ht="13.5">
      <c r="A102" s="113" t="s">
        <v>176</v>
      </c>
      <c r="B102" s="113"/>
      <c r="C102" s="113"/>
      <c r="D102" s="113"/>
      <c r="E102" s="113"/>
      <c r="F102" s="113"/>
      <c r="G102" s="113"/>
      <c r="H102" s="113"/>
      <c r="I102" s="114">
        <f>I101-I100</f>
        <v>-800</v>
      </c>
    </row>
    <row r="103" ht="13.5"/>
    <row r="104" spans="1:9" ht="16.5">
      <c r="A104" s="83" t="s">
        <v>88</v>
      </c>
      <c r="B104" s="83"/>
      <c r="C104" s="83"/>
      <c r="D104" s="83"/>
      <c r="E104" s="83"/>
      <c r="F104" s="83"/>
      <c r="G104" s="83"/>
      <c r="H104" s="83"/>
      <c r="I104" s="83"/>
    </row>
    <row r="105" spans="1:9" ht="16.5" customHeight="1">
      <c r="A105" s="84" t="s">
        <v>111</v>
      </c>
      <c r="B105" s="84" t="s">
        <v>112</v>
      </c>
      <c r="C105" s="85" t="s">
        <v>113</v>
      </c>
      <c r="D105" s="84" t="s">
        <v>114</v>
      </c>
      <c r="E105" s="85" t="s">
        <v>115</v>
      </c>
      <c r="F105" s="84" t="s">
        <v>116</v>
      </c>
      <c r="G105" s="84" t="s">
        <v>117</v>
      </c>
      <c r="H105" s="110" t="s">
        <v>118</v>
      </c>
      <c r="I105" s="110"/>
    </row>
    <row r="106" spans="1:9" ht="16.5" customHeight="1">
      <c r="A106" s="84"/>
      <c r="B106" s="84"/>
      <c r="C106" s="85"/>
      <c r="D106" s="84"/>
      <c r="E106" s="85"/>
      <c r="F106" s="84"/>
      <c r="G106" s="84"/>
      <c r="H106" s="111" t="s">
        <v>119</v>
      </c>
      <c r="I106" s="111" t="s">
        <v>120</v>
      </c>
    </row>
    <row r="107" spans="1:10" ht="51">
      <c r="A107" s="88">
        <v>1</v>
      </c>
      <c r="B107" s="89" t="s">
        <v>121</v>
      </c>
      <c r="C107" s="90" t="s">
        <v>122</v>
      </c>
      <c r="D107" s="91" t="s">
        <v>123</v>
      </c>
      <c r="E107" s="91" t="s">
        <v>124</v>
      </c>
      <c r="F107" s="90" t="s">
        <v>122</v>
      </c>
      <c r="G107" s="91" t="s">
        <v>125</v>
      </c>
      <c r="H107" s="92" t="s">
        <v>294</v>
      </c>
      <c r="I107" s="93">
        <f>2*2*1</f>
        <v>4</v>
      </c>
      <c r="J107" s="94" t="s">
        <v>127</v>
      </c>
    </row>
    <row r="108" spans="1:9" ht="51">
      <c r="A108" s="88">
        <f>(1+A107)</f>
        <v>2</v>
      </c>
      <c r="B108" s="89" t="s">
        <v>252</v>
      </c>
      <c r="C108" s="90" t="s">
        <v>129</v>
      </c>
      <c r="D108" s="91" t="s">
        <v>253</v>
      </c>
      <c r="E108" s="91" t="s">
        <v>254</v>
      </c>
      <c r="F108" s="90" t="s">
        <v>225</v>
      </c>
      <c r="G108" s="91" t="s">
        <v>226</v>
      </c>
      <c r="H108" s="92" t="s">
        <v>295</v>
      </c>
      <c r="I108" s="93">
        <f>13*2*2</f>
        <v>52</v>
      </c>
    </row>
    <row r="109" spans="1:9" ht="63.75">
      <c r="A109" s="88">
        <f>(1+A108)</f>
        <v>3</v>
      </c>
      <c r="B109" s="89" t="s">
        <v>252</v>
      </c>
      <c r="C109" s="90" t="s">
        <v>129</v>
      </c>
      <c r="D109" s="91" t="s">
        <v>296</v>
      </c>
      <c r="E109" s="91" t="s">
        <v>297</v>
      </c>
      <c r="F109" s="90" t="s">
        <v>132</v>
      </c>
      <c r="G109" s="91" t="s">
        <v>226</v>
      </c>
      <c r="H109" s="92" t="s">
        <v>298</v>
      </c>
      <c r="I109" s="93">
        <f>21*2*3</f>
        <v>126</v>
      </c>
    </row>
    <row r="110" spans="1:9" ht="89.25">
      <c r="A110" s="88">
        <f>(1+A109)</f>
        <v>4</v>
      </c>
      <c r="B110" s="95" t="s">
        <v>135</v>
      </c>
      <c r="C110" s="90" t="s">
        <v>132</v>
      </c>
      <c r="D110" s="91" t="s">
        <v>256</v>
      </c>
      <c r="E110" s="91" t="s">
        <v>224</v>
      </c>
      <c r="F110" s="90" t="s">
        <v>225</v>
      </c>
      <c r="G110" s="90" t="s">
        <v>226</v>
      </c>
      <c r="H110" s="92" t="s">
        <v>299</v>
      </c>
      <c r="I110" s="93">
        <f>5*2*4</f>
        <v>40</v>
      </c>
    </row>
    <row r="111" spans="1:9" ht="63.75">
      <c r="A111" s="88">
        <f>(1+A110)</f>
        <v>5</v>
      </c>
      <c r="B111" s="95" t="s">
        <v>135</v>
      </c>
      <c r="C111" s="90" t="s">
        <v>136</v>
      </c>
      <c r="D111" s="95" t="s">
        <v>137</v>
      </c>
      <c r="E111" s="98" t="s">
        <v>138</v>
      </c>
      <c r="F111" s="96" t="s">
        <v>132</v>
      </c>
      <c r="G111" s="90" t="s">
        <v>139</v>
      </c>
      <c r="H111" s="92" t="s">
        <v>300</v>
      </c>
      <c r="I111" s="93">
        <f>8*3*1</f>
        <v>24</v>
      </c>
    </row>
    <row r="112" spans="1:9" ht="76.5">
      <c r="A112" s="88">
        <f>(1+A111)</f>
        <v>6</v>
      </c>
      <c r="B112" s="95" t="s">
        <v>186</v>
      </c>
      <c r="C112" s="90" t="s">
        <v>132</v>
      </c>
      <c r="D112" s="95" t="s">
        <v>187</v>
      </c>
      <c r="E112" s="98" t="s">
        <v>188</v>
      </c>
      <c r="F112" s="96" t="s">
        <v>189</v>
      </c>
      <c r="G112" s="90" t="s">
        <v>190</v>
      </c>
      <c r="H112" s="92">
        <v>39974</v>
      </c>
      <c r="I112" s="93">
        <f>1*4*2</f>
        <v>8</v>
      </c>
    </row>
    <row r="113" spans="1:9" ht="119.25" customHeight="1">
      <c r="A113" s="121">
        <v>7</v>
      </c>
      <c r="B113" s="122" t="s">
        <v>156</v>
      </c>
      <c r="C113" s="123" t="s">
        <v>157</v>
      </c>
      <c r="D113" s="122" t="s">
        <v>158</v>
      </c>
      <c r="E113" s="122" t="s">
        <v>159</v>
      </c>
      <c r="F113" s="122" t="s">
        <v>160</v>
      </c>
      <c r="G113" s="122" t="s">
        <v>161</v>
      </c>
      <c r="H113" s="124" t="s">
        <v>298</v>
      </c>
      <c r="I113" s="125">
        <f>21*1*3</f>
        <v>63</v>
      </c>
    </row>
    <row r="114" spans="1:9" s="118" customFormat="1" ht="117.75" customHeight="1">
      <c r="A114" s="88">
        <v>8</v>
      </c>
      <c r="B114" s="91" t="s">
        <v>301</v>
      </c>
      <c r="C114" s="90" t="s">
        <v>132</v>
      </c>
      <c r="D114" s="91" t="s">
        <v>302</v>
      </c>
      <c r="E114" s="91" t="s">
        <v>303</v>
      </c>
      <c r="F114" s="90" t="s">
        <v>304</v>
      </c>
      <c r="G114" s="91" t="s">
        <v>305</v>
      </c>
      <c r="H114" s="100" t="s">
        <v>306</v>
      </c>
      <c r="I114" s="93">
        <f>18*4*1</f>
        <v>72</v>
      </c>
    </row>
    <row r="115" spans="1:10" ht="63.75">
      <c r="A115" s="88">
        <v>9</v>
      </c>
      <c r="B115" s="91" t="s">
        <v>167</v>
      </c>
      <c r="C115" s="91" t="s">
        <v>168</v>
      </c>
      <c r="D115" s="91" t="s">
        <v>169</v>
      </c>
      <c r="E115" s="91" t="s">
        <v>170</v>
      </c>
      <c r="F115" s="96" t="s">
        <v>132</v>
      </c>
      <c r="G115" s="90" t="s">
        <v>171</v>
      </c>
      <c r="H115" s="100" t="s">
        <v>307</v>
      </c>
      <c r="I115" s="112">
        <v>148</v>
      </c>
      <c r="J115" s="101" t="s">
        <v>173</v>
      </c>
    </row>
    <row r="116" spans="1:10" ht="54.75" customHeight="1">
      <c r="A116" s="88">
        <v>10</v>
      </c>
      <c r="B116" s="91" t="s">
        <v>308</v>
      </c>
      <c r="C116" s="90" t="s">
        <v>132</v>
      </c>
      <c r="D116" s="91" t="s">
        <v>275</v>
      </c>
      <c r="E116" s="91" t="s">
        <v>309</v>
      </c>
      <c r="F116" s="96" t="s">
        <v>132</v>
      </c>
      <c r="G116" s="90" t="s">
        <v>131</v>
      </c>
      <c r="H116" s="100" t="s">
        <v>310</v>
      </c>
      <c r="I116" s="112">
        <f>24*2</f>
        <v>48</v>
      </c>
      <c r="J116" s="119" t="s">
        <v>277</v>
      </c>
    </row>
    <row r="117" spans="1:10" ht="63.75">
      <c r="A117" s="88">
        <v>11</v>
      </c>
      <c r="B117" s="91" t="s">
        <v>311</v>
      </c>
      <c r="C117" s="90" t="s">
        <v>132</v>
      </c>
      <c r="D117" s="91" t="s">
        <v>275</v>
      </c>
      <c r="E117" s="91" t="s">
        <v>309</v>
      </c>
      <c r="F117" s="96" t="s">
        <v>132</v>
      </c>
      <c r="G117" s="90" t="s">
        <v>131</v>
      </c>
      <c r="H117" s="100" t="s">
        <v>312</v>
      </c>
      <c r="I117" s="112">
        <f>24*4</f>
        <v>96</v>
      </c>
      <c r="J117" s="119" t="s">
        <v>277</v>
      </c>
    </row>
    <row r="118" spans="1:10" ht="63.75">
      <c r="A118" s="88">
        <v>12</v>
      </c>
      <c r="B118" s="91" t="s">
        <v>313</v>
      </c>
      <c r="C118" s="90" t="s">
        <v>132</v>
      </c>
      <c r="D118" s="91" t="s">
        <v>275</v>
      </c>
      <c r="E118" s="91" t="s">
        <v>309</v>
      </c>
      <c r="F118" s="96" t="s">
        <v>132</v>
      </c>
      <c r="G118" s="90" t="s">
        <v>131</v>
      </c>
      <c r="H118" s="100" t="s">
        <v>314</v>
      </c>
      <c r="I118" s="112">
        <f>24*2</f>
        <v>48</v>
      </c>
      <c r="J118" s="119" t="s">
        <v>277</v>
      </c>
    </row>
    <row r="119" spans="1:10" ht="63.75">
      <c r="A119" s="88">
        <v>12</v>
      </c>
      <c r="B119" s="91" t="s">
        <v>315</v>
      </c>
      <c r="C119" s="90" t="s">
        <v>132</v>
      </c>
      <c r="D119" s="91" t="s">
        <v>316</v>
      </c>
      <c r="E119" s="91" t="s">
        <v>317</v>
      </c>
      <c r="F119" s="96" t="s">
        <v>132</v>
      </c>
      <c r="G119" s="90" t="s">
        <v>131</v>
      </c>
      <c r="H119" s="100" t="s">
        <v>318</v>
      </c>
      <c r="I119" s="112">
        <f>15*1</f>
        <v>15</v>
      </c>
      <c r="J119" s="119" t="s">
        <v>277</v>
      </c>
    </row>
    <row r="120" spans="1:9" ht="12.75">
      <c r="A120" s="102" t="s">
        <v>174</v>
      </c>
      <c r="B120" s="102"/>
      <c r="C120" s="102"/>
      <c r="D120" s="102"/>
      <c r="E120" s="102"/>
      <c r="F120" s="102"/>
      <c r="G120" s="102"/>
      <c r="H120" s="102"/>
      <c r="I120" s="103">
        <f>SUM(I107:I119)</f>
        <v>744</v>
      </c>
    </row>
    <row r="121" spans="1:9" s="106" customFormat="1" ht="15.75">
      <c r="A121" s="104" t="s">
        <v>319</v>
      </c>
      <c r="B121" s="104"/>
      <c r="C121" s="104"/>
      <c r="D121" s="104"/>
      <c r="E121" s="104"/>
      <c r="F121" s="104"/>
      <c r="G121" s="104"/>
      <c r="H121" s="104"/>
      <c r="I121" s="105">
        <f>Plan2!N10+0</f>
        <v>-56</v>
      </c>
    </row>
    <row r="122" spans="1:9" ht="13.5">
      <c r="A122" s="113" t="s">
        <v>176</v>
      </c>
      <c r="B122" s="113"/>
      <c r="C122" s="113"/>
      <c r="D122" s="113"/>
      <c r="E122" s="113"/>
      <c r="F122" s="113"/>
      <c r="G122" s="113"/>
      <c r="H122" s="113"/>
      <c r="I122" s="114">
        <f>I121-I120</f>
        <v>-800</v>
      </c>
    </row>
    <row r="123" ht="13.5"/>
    <row r="124" spans="1:9" ht="16.5">
      <c r="A124" s="83" t="s">
        <v>9</v>
      </c>
      <c r="B124" s="83"/>
      <c r="C124" s="83"/>
      <c r="D124" s="83"/>
      <c r="E124" s="83"/>
      <c r="F124" s="83"/>
      <c r="G124" s="83"/>
      <c r="H124" s="83"/>
      <c r="I124" s="83"/>
    </row>
    <row r="125" spans="1:9" ht="16.5" customHeight="1">
      <c r="A125" s="84" t="s">
        <v>111</v>
      </c>
      <c r="B125" s="84" t="s">
        <v>112</v>
      </c>
      <c r="C125" s="85" t="s">
        <v>113</v>
      </c>
      <c r="D125" s="84" t="s">
        <v>114</v>
      </c>
      <c r="E125" s="85" t="s">
        <v>115</v>
      </c>
      <c r="F125" s="84" t="s">
        <v>116</v>
      </c>
      <c r="G125" s="84" t="s">
        <v>117</v>
      </c>
      <c r="H125" s="110" t="s">
        <v>118</v>
      </c>
      <c r="I125" s="110"/>
    </row>
    <row r="126" spans="1:9" ht="16.5" customHeight="1">
      <c r="A126" s="84"/>
      <c r="B126" s="84"/>
      <c r="C126" s="85"/>
      <c r="D126" s="84"/>
      <c r="E126" s="85"/>
      <c r="F126" s="84"/>
      <c r="G126" s="84"/>
      <c r="H126" s="111" t="s">
        <v>119</v>
      </c>
      <c r="I126" s="111" t="s">
        <v>120</v>
      </c>
    </row>
    <row r="127" spans="1:10" ht="66.75" customHeight="1">
      <c r="A127" s="88">
        <v>1</v>
      </c>
      <c r="B127" s="95" t="s">
        <v>135</v>
      </c>
      <c r="C127" s="90" t="s">
        <v>132</v>
      </c>
      <c r="D127" s="91" t="s">
        <v>223</v>
      </c>
      <c r="E127" s="91" t="s">
        <v>224</v>
      </c>
      <c r="F127" s="90" t="s">
        <v>225</v>
      </c>
      <c r="G127" s="90" t="s">
        <v>226</v>
      </c>
      <c r="H127" s="92" t="s">
        <v>320</v>
      </c>
      <c r="I127" s="93">
        <f>5*2*4</f>
        <v>40</v>
      </c>
      <c r="J127" s="94" t="s">
        <v>127</v>
      </c>
    </row>
    <row r="128" spans="1:9" ht="38.25">
      <c r="A128" s="88">
        <f>(1+A127)</f>
        <v>2</v>
      </c>
      <c r="B128" s="95" t="s">
        <v>178</v>
      </c>
      <c r="C128" s="90" t="s">
        <v>129</v>
      </c>
      <c r="D128" s="95" t="s">
        <v>258</v>
      </c>
      <c r="E128" s="90" t="s">
        <v>321</v>
      </c>
      <c r="F128" s="96" t="s">
        <v>132</v>
      </c>
      <c r="G128" s="96" t="s">
        <v>133</v>
      </c>
      <c r="H128" s="92" t="s">
        <v>322</v>
      </c>
      <c r="I128" s="93">
        <f>2*3*2</f>
        <v>12</v>
      </c>
    </row>
    <row r="129" spans="1:9" ht="71.25" customHeight="1">
      <c r="A129" s="88">
        <f>(1+A128)</f>
        <v>3</v>
      </c>
      <c r="B129" s="95" t="s">
        <v>186</v>
      </c>
      <c r="C129" s="90" t="s">
        <v>132</v>
      </c>
      <c r="D129" s="97" t="s">
        <v>187</v>
      </c>
      <c r="E129" s="98" t="s">
        <v>188</v>
      </c>
      <c r="F129" s="96" t="s">
        <v>189</v>
      </c>
      <c r="G129" s="99" t="s">
        <v>190</v>
      </c>
      <c r="H129" s="92">
        <v>39995</v>
      </c>
      <c r="I129" s="93">
        <f>1*4*2</f>
        <v>8</v>
      </c>
    </row>
    <row r="130" spans="1:9" ht="63.75" customHeight="1">
      <c r="A130" s="88">
        <f>(1+A129)</f>
        <v>4</v>
      </c>
      <c r="B130" s="95" t="s">
        <v>141</v>
      </c>
      <c r="C130" s="90" t="s">
        <v>132</v>
      </c>
      <c r="D130" s="91" t="s">
        <v>142</v>
      </c>
      <c r="E130" s="91" t="s">
        <v>143</v>
      </c>
      <c r="F130" s="96" t="s">
        <v>144</v>
      </c>
      <c r="G130" s="91" t="s">
        <v>145</v>
      </c>
      <c r="H130" s="92" t="s">
        <v>323</v>
      </c>
      <c r="I130" s="93">
        <f>10*4*3</f>
        <v>120</v>
      </c>
    </row>
    <row r="131" spans="1:9" ht="104.25" customHeight="1">
      <c r="A131" s="88">
        <v>5</v>
      </c>
      <c r="B131" s="91" t="s">
        <v>147</v>
      </c>
      <c r="C131" s="90" t="s">
        <v>136</v>
      </c>
      <c r="D131" s="91" t="s">
        <v>148</v>
      </c>
      <c r="E131" s="91" t="s">
        <v>149</v>
      </c>
      <c r="F131" s="96" t="s">
        <v>150</v>
      </c>
      <c r="G131" s="91" t="s">
        <v>151</v>
      </c>
      <c r="H131" s="92" t="s">
        <v>323</v>
      </c>
      <c r="I131" s="93">
        <f>10*3*3</f>
        <v>90</v>
      </c>
    </row>
    <row r="132" spans="1:9" ht="103.5" customHeight="1">
      <c r="A132" s="88">
        <v>6</v>
      </c>
      <c r="B132" s="91" t="s">
        <v>152</v>
      </c>
      <c r="C132" s="90" t="s">
        <v>136</v>
      </c>
      <c r="D132" s="91" t="s">
        <v>153</v>
      </c>
      <c r="E132" s="91" t="s">
        <v>154</v>
      </c>
      <c r="F132" s="96" t="s">
        <v>150</v>
      </c>
      <c r="G132" s="91" t="s">
        <v>155</v>
      </c>
      <c r="H132" s="92" t="s">
        <v>323</v>
      </c>
      <c r="I132" s="93">
        <f>10*1*3</f>
        <v>30</v>
      </c>
    </row>
    <row r="133" spans="1:9" ht="103.5" customHeight="1">
      <c r="A133" s="88">
        <v>7</v>
      </c>
      <c r="B133" s="91" t="s">
        <v>324</v>
      </c>
      <c r="C133" s="90" t="s">
        <v>132</v>
      </c>
      <c r="D133" s="91" t="s">
        <v>302</v>
      </c>
      <c r="E133" s="91" t="s">
        <v>325</v>
      </c>
      <c r="F133" s="96" t="s">
        <v>326</v>
      </c>
      <c r="G133" s="91" t="s">
        <v>327</v>
      </c>
      <c r="H133" s="100" t="s">
        <v>328</v>
      </c>
      <c r="I133" s="93">
        <f>18*4*1</f>
        <v>72</v>
      </c>
    </row>
    <row r="134" spans="1:10" ht="63.75">
      <c r="A134" s="88">
        <v>8</v>
      </c>
      <c r="B134" s="91" t="s">
        <v>167</v>
      </c>
      <c r="C134" s="91" t="s">
        <v>168</v>
      </c>
      <c r="D134" s="91" t="s">
        <v>169</v>
      </c>
      <c r="E134" s="91" t="s">
        <v>170</v>
      </c>
      <c r="F134" s="90" t="s">
        <v>132</v>
      </c>
      <c r="G134" s="90" t="s">
        <v>171</v>
      </c>
      <c r="H134" s="100" t="s">
        <v>329</v>
      </c>
      <c r="I134" s="112">
        <v>124</v>
      </c>
      <c r="J134" s="101" t="s">
        <v>173</v>
      </c>
    </row>
    <row r="135" spans="1:10" ht="63.75">
      <c r="A135" s="88">
        <v>9</v>
      </c>
      <c r="B135" s="91" t="s">
        <v>330</v>
      </c>
      <c r="C135" s="90" t="s">
        <v>132</v>
      </c>
      <c r="D135" s="91" t="s">
        <v>331</v>
      </c>
      <c r="E135" s="91" t="s">
        <v>332</v>
      </c>
      <c r="F135" s="96" t="s">
        <v>132</v>
      </c>
      <c r="G135" s="90" t="s">
        <v>131</v>
      </c>
      <c r="H135" s="100" t="s">
        <v>333</v>
      </c>
      <c r="I135" s="112">
        <f>15*5</f>
        <v>75</v>
      </c>
      <c r="J135" s="119" t="s">
        <v>277</v>
      </c>
    </row>
    <row r="136" spans="1:10" ht="51">
      <c r="A136" s="88">
        <v>10</v>
      </c>
      <c r="B136" s="91" t="s">
        <v>334</v>
      </c>
      <c r="C136" s="90" t="s">
        <v>132</v>
      </c>
      <c r="D136" s="91" t="s">
        <v>335</v>
      </c>
      <c r="E136" s="91" t="s">
        <v>332</v>
      </c>
      <c r="F136" s="96" t="s">
        <v>132</v>
      </c>
      <c r="G136" s="90" t="s">
        <v>131</v>
      </c>
      <c r="H136" s="100" t="s">
        <v>329</v>
      </c>
      <c r="I136" s="112">
        <v>45</v>
      </c>
      <c r="J136" s="119"/>
    </row>
    <row r="137" spans="1:9" ht="12.75">
      <c r="A137" s="102" t="s">
        <v>174</v>
      </c>
      <c r="B137" s="102"/>
      <c r="C137" s="102"/>
      <c r="D137" s="102"/>
      <c r="E137" s="102"/>
      <c r="F137" s="102"/>
      <c r="G137" s="102"/>
      <c r="H137" s="102"/>
      <c r="I137" s="103">
        <f>SUM(I127:I136)</f>
        <v>616</v>
      </c>
    </row>
    <row r="138" spans="1:9" s="106" customFormat="1" ht="15.75">
      <c r="A138" s="104" t="s">
        <v>336</v>
      </c>
      <c r="B138" s="104"/>
      <c r="C138" s="104"/>
      <c r="D138" s="104"/>
      <c r="E138" s="104"/>
      <c r="F138" s="104"/>
      <c r="G138" s="104"/>
      <c r="H138" s="104"/>
      <c r="I138" s="105">
        <f>Plan2!N11+0</f>
        <v>-224</v>
      </c>
    </row>
    <row r="139" spans="1:9" ht="13.5">
      <c r="A139" s="113" t="s">
        <v>176</v>
      </c>
      <c r="B139" s="113"/>
      <c r="C139" s="113"/>
      <c r="D139" s="113"/>
      <c r="E139" s="113"/>
      <c r="F139" s="113"/>
      <c r="G139" s="113"/>
      <c r="H139" s="113"/>
      <c r="I139" s="114">
        <f>I138-I137</f>
        <v>-840</v>
      </c>
    </row>
    <row r="140" ht="13.5"/>
    <row r="141" spans="1:9" ht="16.5">
      <c r="A141" s="83" t="s">
        <v>10</v>
      </c>
      <c r="B141" s="83"/>
      <c r="C141" s="83"/>
      <c r="D141" s="83"/>
      <c r="E141" s="83"/>
      <c r="F141" s="83"/>
      <c r="G141" s="83"/>
      <c r="H141" s="83"/>
      <c r="I141" s="83"/>
    </row>
    <row r="142" spans="1:9" ht="16.5" customHeight="1">
      <c r="A142" s="84" t="s">
        <v>111</v>
      </c>
      <c r="B142" s="84" t="s">
        <v>112</v>
      </c>
      <c r="C142" s="85" t="s">
        <v>113</v>
      </c>
      <c r="D142" s="84" t="s">
        <v>114</v>
      </c>
      <c r="E142" s="84" t="s">
        <v>115</v>
      </c>
      <c r="F142" s="84" t="s">
        <v>116</v>
      </c>
      <c r="G142" s="84" t="s">
        <v>117</v>
      </c>
      <c r="H142" s="110" t="s">
        <v>118</v>
      </c>
      <c r="I142" s="110"/>
    </row>
    <row r="143" spans="1:9" ht="16.5" customHeight="1">
      <c r="A143" s="84"/>
      <c r="B143" s="84"/>
      <c r="C143" s="85"/>
      <c r="D143" s="84"/>
      <c r="E143" s="84"/>
      <c r="F143" s="84"/>
      <c r="G143" s="84"/>
      <c r="H143" s="111" t="s">
        <v>119</v>
      </c>
      <c r="I143" s="111" t="s">
        <v>120</v>
      </c>
    </row>
    <row r="144" spans="1:10" ht="39" customHeight="1">
      <c r="A144" s="88">
        <v>1</v>
      </c>
      <c r="B144" s="89" t="s">
        <v>121</v>
      </c>
      <c r="C144" s="90" t="s">
        <v>216</v>
      </c>
      <c r="D144" s="91" t="s">
        <v>337</v>
      </c>
      <c r="E144" s="115" t="s">
        <v>218</v>
      </c>
      <c r="F144" s="98" t="s">
        <v>219</v>
      </c>
      <c r="G144" s="91" t="s">
        <v>220</v>
      </c>
      <c r="H144" s="100" t="s">
        <v>338</v>
      </c>
      <c r="I144" s="93">
        <f>17*1*2</f>
        <v>34</v>
      </c>
      <c r="J144" s="94" t="s">
        <v>127</v>
      </c>
    </row>
    <row r="145" spans="1:9" ht="51">
      <c r="A145" s="88">
        <f>(1+A144)</f>
        <v>2</v>
      </c>
      <c r="B145" s="89" t="s">
        <v>121</v>
      </c>
      <c r="C145" s="90" t="s">
        <v>339</v>
      </c>
      <c r="D145" s="91" t="s">
        <v>123</v>
      </c>
      <c r="E145" s="91" t="s">
        <v>124</v>
      </c>
      <c r="F145" s="90" t="s">
        <v>339</v>
      </c>
      <c r="G145" s="91" t="s">
        <v>125</v>
      </c>
      <c r="H145" s="92" t="s">
        <v>340</v>
      </c>
      <c r="I145" s="93">
        <f>2*2*1</f>
        <v>4</v>
      </c>
    </row>
    <row r="146" spans="1:9" ht="89.25">
      <c r="A146" s="88">
        <f>(1+A145)</f>
        <v>3</v>
      </c>
      <c r="B146" s="95" t="s">
        <v>135</v>
      </c>
      <c r="C146" s="90" t="s">
        <v>132</v>
      </c>
      <c r="D146" s="91" t="s">
        <v>256</v>
      </c>
      <c r="E146" s="91" t="s">
        <v>224</v>
      </c>
      <c r="F146" s="90" t="s">
        <v>225</v>
      </c>
      <c r="G146" s="90" t="s">
        <v>226</v>
      </c>
      <c r="H146" s="92" t="s">
        <v>341</v>
      </c>
      <c r="I146" s="93">
        <f>5*2*4</f>
        <v>40</v>
      </c>
    </row>
    <row r="147" spans="1:9" ht="63.75">
      <c r="A147" s="88">
        <f>(1+A146)</f>
        <v>4</v>
      </c>
      <c r="B147" s="95" t="s">
        <v>135</v>
      </c>
      <c r="C147" s="90" t="s">
        <v>136</v>
      </c>
      <c r="D147" s="95" t="s">
        <v>137</v>
      </c>
      <c r="E147" s="98" t="s">
        <v>138</v>
      </c>
      <c r="F147" s="96" t="s">
        <v>132</v>
      </c>
      <c r="G147" s="90" t="s">
        <v>139</v>
      </c>
      <c r="H147" s="92" t="s">
        <v>342</v>
      </c>
      <c r="I147" s="93">
        <f>12*3*1</f>
        <v>36</v>
      </c>
    </row>
    <row r="148" spans="1:9" ht="76.5">
      <c r="A148" s="88">
        <f>(1+A147)</f>
        <v>5</v>
      </c>
      <c r="B148" s="95" t="s">
        <v>186</v>
      </c>
      <c r="C148" s="90" t="s">
        <v>132</v>
      </c>
      <c r="D148" s="95" t="s">
        <v>187</v>
      </c>
      <c r="E148" s="98" t="s">
        <v>188</v>
      </c>
      <c r="F148" s="96" t="s">
        <v>189</v>
      </c>
      <c r="G148" s="90" t="s">
        <v>190</v>
      </c>
      <c r="H148" s="92">
        <v>40030</v>
      </c>
      <c r="I148" s="93">
        <f>1*4*2</f>
        <v>8</v>
      </c>
    </row>
    <row r="149" spans="1:9" ht="114.75">
      <c r="A149" s="88">
        <v>6</v>
      </c>
      <c r="B149" s="91" t="s">
        <v>147</v>
      </c>
      <c r="C149" s="90" t="s">
        <v>136</v>
      </c>
      <c r="D149" s="91" t="s">
        <v>148</v>
      </c>
      <c r="E149" s="91" t="s">
        <v>149</v>
      </c>
      <c r="F149" s="96" t="s">
        <v>150</v>
      </c>
      <c r="G149" s="91" t="s">
        <v>151</v>
      </c>
      <c r="H149" s="92" t="s">
        <v>343</v>
      </c>
      <c r="I149" s="93">
        <f>22*2*3</f>
        <v>132</v>
      </c>
    </row>
    <row r="150" spans="1:9" ht="140.25">
      <c r="A150" s="88">
        <v>7</v>
      </c>
      <c r="B150" s="91" t="s">
        <v>152</v>
      </c>
      <c r="C150" s="90" t="s">
        <v>136</v>
      </c>
      <c r="D150" s="91" t="s">
        <v>153</v>
      </c>
      <c r="E150" s="91" t="s">
        <v>154</v>
      </c>
      <c r="F150" s="96" t="s">
        <v>150</v>
      </c>
      <c r="G150" s="91" t="s">
        <v>155</v>
      </c>
      <c r="H150" s="92" t="s">
        <v>343</v>
      </c>
      <c r="I150" s="93">
        <f>22*1*3</f>
        <v>66</v>
      </c>
    </row>
    <row r="151" spans="1:9" ht="120.75" customHeight="1">
      <c r="A151" s="88">
        <v>8</v>
      </c>
      <c r="B151" s="91" t="s">
        <v>163</v>
      </c>
      <c r="C151" s="90" t="s">
        <v>164</v>
      </c>
      <c r="D151" s="91" t="s">
        <v>158</v>
      </c>
      <c r="E151" s="91" t="s">
        <v>165</v>
      </c>
      <c r="F151" s="91" t="s">
        <v>166</v>
      </c>
      <c r="G151" s="91" t="s">
        <v>161</v>
      </c>
      <c r="H151" s="100" t="s">
        <v>343</v>
      </c>
      <c r="I151" s="93">
        <f>22*3*1</f>
        <v>66</v>
      </c>
    </row>
    <row r="152" spans="1:9" ht="127.5">
      <c r="A152" s="88">
        <v>9</v>
      </c>
      <c r="B152" s="91" t="s">
        <v>284</v>
      </c>
      <c r="C152" s="90" t="s">
        <v>132</v>
      </c>
      <c r="D152" s="91" t="s">
        <v>285</v>
      </c>
      <c r="E152" s="91" t="s">
        <v>286</v>
      </c>
      <c r="F152" s="96" t="s">
        <v>264</v>
      </c>
      <c r="G152" s="91" t="s">
        <v>265</v>
      </c>
      <c r="H152" s="100" t="s">
        <v>343</v>
      </c>
      <c r="I152" s="93">
        <f>22*3*2</f>
        <v>132</v>
      </c>
    </row>
    <row r="153" spans="1:9" ht="117" customHeight="1">
      <c r="A153" s="88">
        <v>10</v>
      </c>
      <c r="B153" s="91" t="s">
        <v>344</v>
      </c>
      <c r="C153" s="90" t="s">
        <v>132</v>
      </c>
      <c r="D153" s="91" t="s">
        <v>345</v>
      </c>
      <c r="E153" s="91" t="s">
        <v>346</v>
      </c>
      <c r="F153" s="96" t="s">
        <v>304</v>
      </c>
      <c r="G153" s="91" t="s">
        <v>305</v>
      </c>
      <c r="H153" s="100" t="s">
        <v>347</v>
      </c>
      <c r="I153" s="93">
        <f>20*4*1</f>
        <v>80</v>
      </c>
    </row>
    <row r="154" spans="1:10" ht="63.75">
      <c r="A154" s="88">
        <v>11</v>
      </c>
      <c r="B154" s="91" t="s">
        <v>167</v>
      </c>
      <c r="C154" s="91" t="s">
        <v>168</v>
      </c>
      <c r="D154" s="91" t="s">
        <v>169</v>
      </c>
      <c r="E154" s="91" t="s">
        <v>170</v>
      </c>
      <c r="F154" s="96" t="s">
        <v>132</v>
      </c>
      <c r="G154" s="90" t="s">
        <v>171</v>
      </c>
      <c r="H154" s="100" t="s">
        <v>343</v>
      </c>
      <c r="I154" s="112">
        <v>170</v>
      </c>
      <c r="J154" s="101" t="s">
        <v>173</v>
      </c>
    </row>
    <row r="155" spans="1:10" ht="63.75">
      <c r="A155" s="126">
        <v>12</v>
      </c>
      <c r="B155" s="91" t="s">
        <v>330</v>
      </c>
      <c r="C155" s="90" t="s">
        <v>132</v>
      </c>
      <c r="D155" s="91" t="s">
        <v>331</v>
      </c>
      <c r="E155" s="91" t="s">
        <v>332</v>
      </c>
      <c r="F155" s="90" t="s">
        <v>132</v>
      </c>
      <c r="G155" s="90" t="s">
        <v>131</v>
      </c>
      <c r="H155" s="100" t="s">
        <v>343</v>
      </c>
      <c r="I155" s="112">
        <v>80</v>
      </c>
      <c r="J155" s="119" t="s">
        <v>277</v>
      </c>
    </row>
    <row r="156" spans="1:9" ht="12.75">
      <c r="A156" s="102" t="s">
        <v>174</v>
      </c>
      <c r="B156" s="102"/>
      <c r="C156" s="102"/>
      <c r="D156" s="102"/>
      <c r="E156" s="102"/>
      <c r="F156" s="102"/>
      <c r="G156" s="102"/>
      <c r="H156" s="102"/>
      <c r="I156" s="103">
        <f>SUM(I144:I155)</f>
        <v>848</v>
      </c>
    </row>
    <row r="157" spans="1:9" s="106" customFormat="1" ht="15.75">
      <c r="A157" s="104" t="s">
        <v>348</v>
      </c>
      <c r="B157" s="104"/>
      <c r="C157" s="104"/>
      <c r="D157" s="104"/>
      <c r="E157" s="104"/>
      <c r="F157" s="104"/>
      <c r="G157" s="104"/>
      <c r="H157" s="104"/>
      <c r="I157" s="105">
        <f>Plan2!N12+0</f>
        <v>8</v>
      </c>
    </row>
    <row r="158" spans="1:9" ht="13.5">
      <c r="A158" s="113" t="s">
        <v>176</v>
      </c>
      <c r="B158" s="113"/>
      <c r="C158" s="113"/>
      <c r="D158" s="113"/>
      <c r="E158" s="113"/>
      <c r="F158" s="113"/>
      <c r="G158" s="113"/>
      <c r="H158" s="113"/>
      <c r="I158" s="114">
        <f>I157-I156</f>
        <v>-840</v>
      </c>
    </row>
    <row r="159" ht="13.5"/>
    <row r="160" spans="1:9" ht="16.5">
      <c r="A160" s="83" t="s">
        <v>11</v>
      </c>
      <c r="B160" s="83"/>
      <c r="C160" s="83"/>
      <c r="D160" s="83"/>
      <c r="E160" s="83"/>
      <c r="F160" s="83"/>
      <c r="G160" s="83"/>
      <c r="H160" s="83"/>
      <c r="I160" s="83"/>
    </row>
    <row r="161" spans="1:9" ht="16.5" customHeight="1">
      <c r="A161" s="84" t="s">
        <v>111</v>
      </c>
      <c r="B161" s="84" t="s">
        <v>112</v>
      </c>
      <c r="C161" s="85" t="s">
        <v>113</v>
      </c>
      <c r="D161" s="84" t="s">
        <v>114</v>
      </c>
      <c r="E161" s="85" t="s">
        <v>115</v>
      </c>
      <c r="F161" s="84" t="s">
        <v>116</v>
      </c>
      <c r="G161" s="84" t="s">
        <v>117</v>
      </c>
      <c r="H161" s="110" t="s">
        <v>118</v>
      </c>
      <c r="I161" s="110"/>
    </row>
    <row r="162" spans="1:9" ht="16.5" customHeight="1">
      <c r="A162" s="84"/>
      <c r="B162" s="84"/>
      <c r="C162" s="85"/>
      <c r="D162" s="84"/>
      <c r="E162" s="85"/>
      <c r="F162" s="84"/>
      <c r="G162" s="84"/>
      <c r="H162" s="111" t="s">
        <v>119</v>
      </c>
      <c r="I162" s="111" t="s">
        <v>120</v>
      </c>
    </row>
    <row r="163" spans="1:10" ht="39.75" customHeight="1">
      <c r="A163" s="88">
        <v>1</v>
      </c>
      <c r="B163" s="89" t="s">
        <v>121</v>
      </c>
      <c r="C163" s="90" t="s">
        <v>122</v>
      </c>
      <c r="D163" s="91" t="s">
        <v>123</v>
      </c>
      <c r="E163" s="91" t="s">
        <v>124</v>
      </c>
      <c r="F163" s="90" t="s">
        <v>122</v>
      </c>
      <c r="G163" s="91" t="s">
        <v>125</v>
      </c>
      <c r="H163" s="92" t="s">
        <v>349</v>
      </c>
      <c r="I163" s="93">
        <f>2*2*1</f>
        <v>4</v>
      </c>
      <c r="J163" s="94" t="s">
        <v>127</v>
      </c>
    </row>
    <row r="164" spans="1:9" ht="53.25" customHeight="1">
      <c r="A164" s="88">
        <f>(1+A163)</f>
        <v>2</v>
      </c>
      <c r="B164" s="89" t="s">
        <v>252</v>
      </c>
      <c r="C164" s="90" t="s">
        <v>129</v>
      </c>
      <c r="D164" s="91" t="s">
        <v>296</v>
      </c>
      <c r="E164" s="91" t="s">
        <v>297</v>
      </c>
      <c r="F164" s="90" t="s">
        <v>132</v>
      </c>
      <c r="G164" s="91" t="s">
        <v>226</v>
      </c>
      <c r="H164" s="92" t="s">
        <v>350</v>
      </c>
      <c r="I164" s="93">
        <f>21*1*3</f>
        <v>63</v>
      </c>
    </row>
    <row r="165" spans="1:9" ht="89.25">
      <c r="A165" s="88">
        <f>(1+A164)</f>
        <v>3</v>
      </c>
      <c r="B165" s="95" t="s">
        <v>135</v>
      </c>
      <c r="C165" s="90" t="s">
        <v>132</v>
      </c>
      <c r="D165" s="91" t="s">
        <v>256</v>
      </c>
      <c r="E165" s="91" t="s">
        <v>224</v>
      </c>
      <c r="F165" s="90" t="s">
        <v>225</v>
      </c>
      <c r="G165" s="90" t="s">
        <v>226</v>
      </c>
      <c r="H165" s="92" t="s">
        <v>351</v>
      </c>
      <c r="I165" s="93">
        <f>4*2*4</f>
        <v>32</v>
      </c>
    </row>
    <row r="166" spans="1:9" ht="63.75">
      <c r="A166" s="88">
        <f>(1+A165)</f>
        <v>4</v>
      </c>
      <c r="B166" s="95" t="s">
        <v>135</v>
      </c>
      <c r="C166" s="90" t="s">
        <v>136</v>
      </c>
      <c r="D166" s="95" t="s">
        <v>137</v>
      </c>
      <c r="E166" s="98" t="s">
        <v>138</v>
      </c>
      <c r="F166" s="96" t="s">
        <v>132</v>
      </c>
      <c r="G166" s="90" t="s">
        <v>139</v>
      </c>
      <c r="H166" s="92" t="s">
        <v>352</v>
      </c>
      <c r="I166" s="93">
        <f>9*3*1</f>
        <v>27</v>
      </c>
    </row>
    <row r="167" spans="1:9" ht="76.5">
      <c r="A167" s="88">
        <f>(1+A166)</f>
        <v>5</v>
      </c>
      <c r="B167" s="95" t="s">
        <v>186</v>
      </c>
      <c r="C167" s="90" t="s">
        <v>132</v>
      </c>
      <c r="D167" s="97" t="s">
        <v>187</v>
      </c>
      <c r="E167" s="98" t="s">
        <v>188</v>
      </c>
      <c r="F167" s="96" t="s">
        <v>189</v>
      </c>
      <c r="G167" s="99" t="s">
        <v>190</v>
      </c>
      <c r="H167" s="92">
        <v>40058</v>
      </c>
      <c r="I167" s="93">
        <f>1*4*2</f>
        <v>8</v>
      </c>
    </row>
    <row r="168" spans="1:9" ht="76.5">
      <c r="A168" s="88">
        <f>(1+A167)</f>
        <v>6</v>
      </c>
      <c r="B168" s="95" t="s">
        <v>141</v>
      </c>
      <c r="C168" s="90" t="s">
        <v>132</v>
      </c>
      <c r="D168" s="91" t="s">
        <v>142</v>
      </c>
      <c r="E168" s="91" t="s">
        <v>143</v>
      </c>
      <c r="F168" s="96" t="s">
        <v>144</v>
      </c>
      <c r="G168" s="91" t="s">
        <v>145</v>
      </c>
      <c r="H168" s="92" t="s">
        <v>353</v>
      </c>
      <c r="I168" s="93">
        <f>13*4*2</f>
        <v>104</v>
      </c>
    </row>
    <row r="169" spans="1:9" ht="118.5" customHeight="1">
      <c r="A169" s="88">
        <v>7</v>
      </c>
      <c r="B169" s="91" t="s">
        <v>156</v>
      </c>
      <c r="C169" s="90" t="s">
        <v>157</v>
      </c>
      <c r="D169" s="91" t="s">
        <v>158</v>
      </c>
      <c r="E169" s="91" t="s">
        <v>159</v>
      </c>
      <c r="F169" s="91" t="s">
        <v>160</v>
      </c>
      <c r="G169" s="91" t="s">
        <v>161</v>
      </c>
      <c r="H169" s="100" t="s">
        <v>354</v>
      </c>
      <c r="I169" s="93">
        <f>13*2*3</f>
        <v>78</v>
      </c>
    </row>
    <row r="170" spans="1:9" ht="78" customHeight="1">
      <c r="A170" s="88">
        <v>8</v>
      </c>
      <c r="B170" s="91" t="s">
        <v>355</v>
      </c>
      <c r="C170" s="90" t="s">
        <v>132</v>
      </c>
      <c r="D170" s="91" t="s">
        <v>356</v>
      </c>
      <c r="E170" s="91" t="s">
        <v>357</v>
      </c>
      <c r="F170" s="90" t="s">
        <v>358</v>
      </c>
      <c r="G170" s="91" t="s">
        <v>359</v>
      </c>
      <c r="H170" s="100" t="s">
        <v>354</v>
      </c>
      <c r="I170" s="93">
        <f>12*4*1.5</f>
        <v>72</v>
      </c>
    </row>
    <row r="171" spans="1:10" ht="63.75">
      <c r="A171" s="88">
        <v>9</v>
      </c>
      <c r="B171" s="91" t="s">
        <v>167</v>
      </c>
      <c r="C171" s="91" t="s">
        <v>168</v>
      </c>
      <c r="D171" s="91" t="s">
        <v>169</v>
      </c>
      <c r="E171" s="91" t="s">
        <v>170</v>
      </c>
      <c r="F171" s="96" t="s">
        <v>132</v>
      </c>
      <c r="G171" s="90" t="s">
        <v>171</v>
      </c>
      <c r="H171" s="100" t="s">
        <v>360</v>
      </c>
      <c r="I171" s="112">
        <v>226</v>
      </c>
      <c r="J171" s="101" t="s">
        <v>361</v>
      </c>
    </row>
    <row r="172" spans="1:9" ht="51">
      <c r="A172" s="88">
        <v>10</v>
      </c>
      <c r="B172" s="91" t="s">
        <v>330</v>
      </c>
      <c r="C172" s="90" t="s">
        <v>132</v>
      </c>
      <c r="D172" s="91" t="s">
        <v>331</v>
      </c>
      <c r="E172" s="91" t="s">
        <v>332</v>
      </c>
      <c r="F172" s="96" t="s">
        <v>132</v>
      </c>
      <c r="G172" s="90" t="s">
        <v>131</v>
      </c>
      <c r="H172" s="100" t="s">
        <v>350</v>
      </c>
      <c r="I172" s="112">
        <f>15*6</f>
        <v>90</v>
      </c>
    </row>
    <row r="173" spans="1:9" ht="51">
      <c r="A173" s="88">
        <v>11</v>
      </c>
      <c r="B173" s="91" t="s">
        <v>334</v>
      </c>
      <c r="C173" s="90" t="s">
        <v>132</v>
      </c>
      <c r="D173" s="91" t="s">
        <v>335</v>
      </c>
      <c r="E173" s="91" t="s">
        <v>332</v>
      </c>
      <c r="F173" s="96" t="s">
        <v>132</v>
      </c>
      <c r="G173" s="90" t="s">
        <v>131</v>
      </c>
      <c r="H173" s="100" t="s">
        <v>350</v>
      </c>
      <c r="I173" s="112">
        <v>48</v>
      </c>
    </row>
    <row r="174" spans="1:9" ht="12.75">
      <c r="A174" s="102" t="s">
        <v>174</v>
      </c>
      <c r="B174" s="102"/>
      <c r="C174" s="102"/>
      <c r="D174" s="102"/>
      <c r="E174" s="102"/>
      <c r="F174" s="102"/>
      <c r="G174" s="102"/>
      <c r="H174" s="102"/>
      <c r="I174" s="103">
        <f>SUM(I163:I173)</f>
        <v>752</v>
      </c>
    </row>
    <row r="175" spans="1:9" s="106" customFormat="1" ht="15.75">
      <c r="A175" s="104" t="s">
        <v>362</v>
      </c>
      <c r="B175" s="104"/>
      <c r="C175" s="104"/>
      <c r="D175" s="104"/>
      <c r="E175" s="104"/>
      <c r="F175" s="104"/>
      <c r="G175" s="104"/>
      <c r="H175" s="104"/>
      <c r="I175" s="105">
        <f>Plan2!N13+0</f>
        <v>-48</v>
      </c>
    </row>
    <row r="176" spans="1:9" ht="13.5">
      <c r="A176" s="113" t="s">
        <v>176</v>
      </c>
      <c r="B176" s="113"/>
      <c r="C176" s="113"/>
      <c r="D176" s="113"/>
      <c r="E176" s="113"/>
      <c r="F176" s="113"/>
      <c r="G176" s="113"/>
      <c r="H176" s="113"/>
      <c r="I176" s="114">
        <f>I175-I174</f>
        <v>-800</v>
      </c>
    </row>
    <row r="177" ht="13.5"/>
    <row r="178" spans="1:9" ht="16.5">
      <c r="A178" s="83" t="s">
        <v>91</v>
      </c>
      <c r="B178" s="83"/>
      <c r="C178" s="83"/>
      <c r="D178" s="83"/>
      <c r="E178" s="83"/>
      <c r="F178" s="83"/>
      <c r="G178" s="83"/>
      <c r="H178" s="83"/>
      <c r="I178" s="83"/>
    </row>
    <row r="179" spans="1:9" ht="16.5" customHeight="1">
      <c r="A179" s="84" t="s">
        <v>111</v>
      </c>
      <c r="B179" s="84" t="s">
        <v>112</v>
      </c>
      <c r="C179" s="85" t="s">
        <v>113</v>
      </c>
      <c r="D179" s="84" t="s">
        <v>114</v>
      </c>
      <c r="E179" s="84" t="s">
        <v>115</v>
      </c>
      <c r="F179" s="84" t="s">
        <v>116</v>
      </c>
      <c r="G179" s="84" t="s">
        <v>117</v>
      </c>
      <c r="H179" s="110" t="s">
        <v>118</v>
      </c>
      <c r="I179" s="110"/>
    </row>
    <row r="180" spans="1:9" ht="16.5" customHeight="1">
      <c r="A180" s="84"/>
      <c r="B180" s="84"/>
      <c r="C180" s="85"/>
      <c r="D180" s="84"/>
      <c r="E180" s="84"/>
      <c r="F180" s="84"/>
      <c r="G180" s="84"/>
      <c r="H180" s="111" t="s">
        <v>119</v>
      </c>
      <c r="I180" s="111" t="s">
        <v>120</v>
      </c>
    </row>
    <row r="181" spans="1:10" ht="51">
      <c r="A181" s="88">
        <v>1</v>
      </c>
      <c r="B181" s="89" t="s">
        <v>121</v>
      </c>
      <c r="C181" s="90" t="s">
        <v>216</v>
      </c>
      <c r="D181" s="91" t="s">
        <v>217</v>
      </c>
      <c r="E181" s="115" t="s">
        <v>218</v>
      </c>
      <c r="F181" s="98" t="s">
        <v>219</v>
      </c>
      <c r="G181" s="91" t="s">
        <v>220</v>
      </c>
      <c r="H181" s="100" t="s">
        <v>363</v>
      </c>
      <c r="I181" s="93">
        <f>10*1*2</f>
        <v>20</v>
      </c>
      <c r="J181" s="94" t="s">
        <v>127</v>
      </c>
    </row>
    <row r="182" spans="1:9" ht="51">
      <c r="A182" s="88">
        <f>(1+A181)</f>
        <v>2</v>
      </c>
      <c r="B182" s="89" t="s">
        <v>121</v>
      </c>
      <c r="C182" s="90" t="s">
        <v>122</v>
      </c>
      <c r="D182" s="91" t="s">
        <v>123</v>
      </c>
      <c r="E182" s="91" t="s">
        <v>124</v>
      </c>
      <c r="F182" s="90" t="s">
        <v>122</v>
      </c>
      <c r="G182" s="91" t="s">
        <v>125</v>
      </c>
      <c r="H182" s="92" t="s">
        <v>364</v>
      </c>
      <c r="I182" s="93">
        <f>2*2*1</f>
        <v>4</v>
      </c>
    </row>
    <row r="183" spans="1:9" ht="51">
      <c r="A183" s="88">
        <f>(1+A182)</f>
        <v>3</v>
      </c>
      <c r="B183" s="89" t="s">
        <v>252</v>
      </c>
      <c r="C183" s="90" t="s">
        <v>129</v>
      </c>
      <c r="D183" s="91" t="s">
        <v>365</v>
      </c>
      <c r="E183" s="91" t="s">
        <v>254</v>
      </c>
      <c r="F183" s="90" t="s">
        <v>132</v>
      </c>
      <c r="G183" s="91" t="s">
        <v>226</v>
      </c>
      <c r="H183" s="92" t="s">
        <v>366</v>
      </c>
      <c r="I183" s="93">
        <f>10*4*2</f>
        <v>80</v>
      </c>
    </row>
    <row r="184" spans="1:9" ht="89.25">
      <c r="A184" s="88">
        <f>(1+A183)</f>
        <v>4</v>
      </c>
      <c r="B184" s="95" t="s">
        <v>135</v>
      </c>
      <c r="C184" s="90" t="s">
        <v>132</v>
      </c>
      <c r="D184" s="91" t="s">
        <v>256</v>
      </c>
      <c r="E184" s="91" t="s">
        <v>224</v>
      </c>
      <c r="F184" s="90" t="s">
        <v>225</v>
      </c>
      <c r="G184" s="90" t="s">
        <v>226</v>
      </c>
      <c r="H184" s="92" t="s">
        <v>367</v>
      </c>
      <c r="I184" s="93">
        <f>5*2*4</f>
        <v>40</v>
      </c>
    </row>
    <row r="185" spans="1:9" ht="38.25">
      <c r="A185" s="88">
        <f>(1+A184)</f>
        <v>5</v>
      </c>
      <c r="B185" s="95" t="s">
        <v>368</v>
      </c>
      <c r="C185" s="90" t="s">
        <v>129</v>
      </c>
      <c r="D185" s="95" t="s">
        <v>369</v>
      </c>
      <c r="E185" s="90" t="s">
        <v>370</v>
      </c>
      <c r="F185" s="96" t="s">
        <v>132</v>
      </c>
      <c r="G185" s="96" t="s">
        <v>133</v>
      </c>
      <c r="H185" s="92" t="s">
        <v>371</v>
      </c>
      <c r="I185" s="93">
        <f>19*4*1</f>
        <v>76</v>
      </c>
    </row>
    <row r="186" spans="1:9" ht="63.75">
      <c r="A186" s="88">
        <f>(1+A185)</f>
        <v>6</v>
      </c>
      <c r="B186" s="95" t="s">
        <v>135</v>
      </c>
      <c r="C186" s="90" t="s">
        <v>136</v>
      </c>
      <c r="D186" s="95" t="s">
        <v>137</v>
      </c>
      <c r="E186" s="98" t="s">
        <v>138</v>
      </c>
      <c r="F186" s="96" t="s">
        <v>132</v>
      </c>
      <c r="G186" s="90" t="s">
        <v>139</v>
      </c>
      <c r="H186" s="92" t="s">
        <v>366</v>
      </c>
      <c r="I186" s="93">
        <f>10*3*1</f>
        <v>30</v>
      </c>
    </row>
    <row r="187" spans="1:9" ht="76.5">
      <c r="A187" s="88">
        <v>7</v>
      </c>
      <c r="B187" s="95" t="s">
        <v>186</v>
      </c>
      <c r="C187" s="90" t="s">
        <v>132</v>
      </c>
      <c r="D187" s="95" t="s">
        <v>187</v>
      </c>
      <c r="E187" s="98" t="s">
        <v>188</v>
      </c>
      <c r="F187" s="96" t="s">
        <v>189</v>
      </c>
      <c r="G187" s="99" t="s">
        <v>190</v>
      </c>
      <c r="H187" s="92">
        <v>40093</v>
      </c>
      <c r="I187" s="93">
        <f>1*4*2</f>
        <v>8</v>
      </c>
    </row>
    <row r="188" spans="1:9" ht="103.5" customHeight="1">
      <c r="A188" s="88">
        <v>8</v>
      </c>
      <c r="B188" s="95" t="s">
        <v>261</v>
      </c>
      <c r="C188" s="90" t="s">
        <v>132</v>
      </c>
      <c r="D188" s="91" t="s">
        <v>262</v>
      </c>
      <c r="E188" s="91" t="s">
        <v>263</v>
      </c>
      <c r="F188" s="96" t="s">
        <v>264</v>
      </c>
      <c r="G188" s="91" t="s">
        <v>265</v>
      </c>
      <c r="H188" s="92" t="s">
        <v>371</v>
      </c>
      <c r="I188" s="93">
        <f>19*4*1.5</f>
        <v>114</v>
      </c>
    </row>
    <row r="189" spans="1:10" ht="54.75" customHeight="1">
      <c r="A189" s="88">
        <v>9</v>
      </c>
      <c r="B189" s="91" t="s">
        <v>167</v>
      </c>
      <c r="C189" s="91" t="s">
        <v>168</v>
      </c>
      <c r="D189" s="91" t="s">
        <v>169</v>
      </c>
      <c r="E189" s="91" t="s">
        <v>170</v>
      </c>
      <c r="F189" s="90" t="s">
        <v>132</v>
      </c>
      <c r="G189" s="90" t="s">
        <v>171</v>
      </c>
      <c r="H189" s="100" t="s">
        <v>372</v>
      </c>
      <c r="I189" s="112">
        <v>130</v>
      </c>
      <c r="J189" s="101" t="s">
        <v>173</v>
      </c>
    </row>
    <row r="190" spans="1:10" ht="54.75" customHeight="1">
      <c r="A190" s="88">
        <v>10</v>
      </c>
      <c r="B190" s="91" t="s">
        <v>330</v>
      </c>
      <c r="C190" s="90" t="s">
        <v>132</v>
      </c>
      <c r="D190" s="91" t="s">
        <v>331</v>
      </c>
      <c r="E190" s="91" t="s">
        <v>332</v>
      </c>
      <c r="F190" s="96" t="s">
        <v>132</v>
      </c>
      <c r="G190" s="90" t="s">
        <v>131</v>
      </c>
      <c r="H190" s="100" t="s">
        <v>372</v>
      </c>
      <c r="I190" s="112">
        <f>15*6</f>
        <v>90</v>
      </c>
      <c r="J190" s="119"/>
    </row>
    <row r="191" spans="1:10" ht="45.75" customHeight="1">
      <c r="A191" s="88">
        <v>11</v>
      </c>
      <c r="B191" s="91" t="s">
        <v>373</v>
      </c>
      <c r="C191" s="90" t="s">
        <v>132</v>
      </c>
      <c r="D191" s="91" t="s">
        <v>291</v>
      </c>
      <c r="E191" s="91" t="s">
        <v>292</v>
      </c>
      <c r="F191" s="96" t="s">
        <v>132</v>
      </c>
      <c r="G191" s="90" t="s">
        <v>131</v>
      </c>
      <c r="H191" s="100" t="s">
        <v>374</v>
      </c>
      <c r="I191" s="112">
        <f>40*2</f>
        <v>80</v>
      </c>
      <c r="J191" s="119" t="s">
        <v>277</v>
      </c>
    </row>
    <row r="192" spans="1:10" ht="45.75" customHeight="1">
      <c r="A192" s="120">
        <v>12</v>
      </c>
      <c r="B192" s="91" t="s">
        <v>375</v>
      </c>
      <c r="C192" s="90" t="s">
        <v>132</v>
      </c>
      <c r="D192" s="91" t="s">
        <v>376</v>
      </c>
      <c r="E192" s="91" t="s">
        <v>292</v>
      </c>
      <c r="F192" s="96" t="s">
        <v>132</v>
      </c>
      <c r="G192" s="90" t="s">
        <v>131</v>
      </c>
      <c r="H192" s="100" t="s">
        <v>372</v>
      </c>
      <c r="I192" s="112">
        <f>12*2</f>
        <v>24</v>
      </c>
      <c r="J192" s="119" t="s">
        <v>277</v>
      </c>
    </row>
    <row r="193" spans="1:9" ht="12.75">
      <c r="A193" s="102" t="s">
        <v>174</v>
      </c>
      <c r="B193" s="102"/>
      <c r="C193" s="102"/>
      <c r="D193" s="102"/>
      <c r="E193" s="102"/>
      <c r="F193" s="102"/>
      <c r="G193" s="102"/>
      <c r="H193" s="102"/>
      <c r="I193" s="103">
        <f>SUM(I181:I192)</f>
        <v>696</v>
      </c>
    </row>
    <row r="194" spans="1:9" s="106" customFormat="1" ht="15.75">
      <c r="A194" s="104" t="s">
        <v>377</v>
      </c>
      <c r="B194" s="104"/>
      <c r="C194" s="104"/>
      <c r="D194" s="104"/>
      <c r="E194" s="104"/>
      <c r="F194" s="104"/>
      <c r="G194" s="104"/>
      <c r="H194" s="104"/>
      <c r="I194" s="105">
        <f>Plan2!N14+0</f>
        <v>-24</v>
      </c>
    </row>
    <row r="195" spans="1:9" ht="13.5">
      <c r="A195" s="113" t="s">
        <v>176</v>
      </c>
      <c r="B195" s="113"/>
      <c r="C195" s="113"/>
      <c r="D195" s="113"/>
      <c r="E195" s="113"/>
      <c r="F195" s="113"/>
      <c r="G195" s="113"/>
      <c r="H195" s="113"/>
      <c r="I195" s="114">
        <f>I194-I193</f>
        <v>-720</v>
      </c>
    </row>
    <row r="196" ht="13.5"/>
    <row r="197" spans="1:9" ht="16.5">
      <c r="A197" s="83" t="s">
        <v>13</v>
      </c>
      <c r="B197" s="83"/>
      <c r="C197" s="83"/>
      <c r="D197" s="83"/>
      <c r="E197" s="83"/>
      <c r="F197" s="83"/>
      <c r="G197" s="83"/>
      <c r="H197" s="83"/>
      <c r="I197" s="83"/>
    </row>
    <row r="198" spans="1:9" ht="16.5" customHeight="1">
      <c r="A198" s="84" t="s">
        <v>111</v>
      </c>
      <c r="B198" s="84" t="s">
        <v>112</v>
      </c>
      <c r="C198" s="85" t="s">
        <v>113</v>
      </c>
      <c r="D198" s="84" t="s">
        <v>114</v>
      </c>
      <c r="E198" s="85" t="s">
        <v>115</v>
      </c>
      <c r="F198" s="84" t="s">
        <v>116</v>
      </c>
      <c r="G198" s="84" t="s">
        <v>117</v>
      </c>
      <c r="H198" s="110" t="s">
        <v>118</v>
      </c>
      <c r="I198" s="110"/>
    </row>
    <row r="199" spans="1:9" ht="16.5" customHeight="1">
      <c r="A199" s="84"/>
      <c r="B199" s="84"/>
      <c r="C199" s="85"/>
      <c r="D199" s="84"/>
      <c r="E199" s="85"/>
      <c r="F199" s="84"/>
      <c r="G199" s="84"/>
      <c r="H199" s="111" t="s">
        <v>119</v>
      </c>
      <c r="I199" s="111" t="s">
        <v>120</v>
      </c>
    </row>
    <row r="200" spans="1:10" ht="36.75" customHeight="1">
      <c r="A200" s="88">
        <v>1</v>
      </c>
      <c r="B200" s="89" t="s">
        <v>121</v>
      </c>
      <c r="C200" s="90" t="s">
        <v>122</v>
      </c>
      <c r="D200" s="91" t="s">
        <v>123</v>
      </c>
      <c r="E200" s="91" t="s">
        <v>124</v>
      </c>
      <c r="F200" s="90" t="s">
        <v>122</v>
      </c>
      <c r="G200" s="91" t="s">
        <v>125</v>
      </c>
      <c r="H200" s="92" t="s">
        <v>378</v>
      </c>
      <c r="I200" s="93">
        <f>2*2*1</f>
        <v>4</v>
      </c>
      <c r="J200" s="94" t="s">
        <v>127</v>
      </c>
    </row>
    <row r="201" spans="1:9" ht="89.25">
      <c r="A201" s="88">
        <f>(1+A200)</f>
        <v>2</v>
      </c>
      <c r="B201" s="95" t="s">
        <v>135</v>
      </c>
      <c r="C201" s="90" t="s">
        <v>132</v>
      </c>
      <c r="D201" s="91" t="s">
        <v>256</v>
      </c>
      <c r="E201" s="91" t="s">
        <v>224</v>
      </c>
      <c r="F201" s="90" t="s">
        <v>225</v>
      </c>
      <c r="G201" s="90" t="s">
        <v>226</v>
      </c>
      <c r="H201" s="92" t="s">
        <v>379</v>
      </c>
      <c r="I201" s="93">
        <f>4*2*4</f>
        <v>32</v>
      </c>
    </row>
    <row r="202" spans="1:9" ht="38.25">
      <c r="A202" s="88">
        <f>(1+A201)</f>
        <v>3</v>
      </c>
      <c r="B202" s="95" t="s">
        <v>178</v>
      </c>
      <c r="C202" s="90" t="s">
        <v>129</v>
      </c>
      <c r="D202" s="95" t="s">
        <v>258</v>
      </c>
      <c r="E202" s="90" t="s">
        <v>380</v>
      </c>
      <c r="F202" s="96" t="s">
        <v>132</v>
      </c>
      <c r="G202" s="96" t="s">
        <v>133</v>
      </c>
      <c r="H202" s="92" t="s">
        <v>381</v>
      </c>
      <c r="I202" s="93">
        <f>2*3*2</f>
        <v>12</v>
      </c>
    </row>
    <row r="203" spans="1:9" ht="63.75">
      <c r="A203" s="88">
        <f>(1+A202)</f>
        <v>4</v>
      </c>
      <c r="B203" s="95" t="s">
        <v>135</v>
      </c>
      <c r="C203" s="90" t="s">
        <v>136</v>
      </c>
      <c r="D203" s="95" t="s">
        <v>137</v>
      </c>
      <c r="E203" s="98" t="s">
        <v>138</v>
      </c>
      <c r="F203" s="96" t="s">
        <v>132</v>
      </c>
      <c r="G203" s="90" t="s">
        <v>139</v>
      </c>
      <c r="H203" s="92" t="s">
        <v>382</v>
      </c>
      <c r="I203" s="93">
        <f>7*3*1</f>
        <v>21</v>
      </c>
    </row>
    <row r="204" spans="1:9" ht="76.5">
      <c r="A204" s="88">
        <f>(1+A203)</f>
        <v>5</v>
      </c>
      <c r="B204" s="95" t="s">
        <v>186</v>
      </c>
      <c r="C204" s="90" t="s">
        <v>132</v>
      </c>
      <c r="D204" s="97" t="s">
        <v>187</v>
      </c>
      <c r="E204" s="98" t="s">
        <v>188</v>
      </c>
      <c r="F204" s="96" t="s">
        <v>189</v>
      </c>
      <c r="G204" s="99" t="s">
        <v>190</v>
      </c>
      <c r="H204" s="92">
        <v>40121</v>
      </c>
      <c r="I204" s="93">
        <f>1*4*2</f>
        <v>8</v>
      </c>
    </row>
    <row r="205" spans="1:9" ht="76.5">
      <c r="A205" s="88">
        <f>(1+A204)</f>
        <v>6</v>
      </c>
      <c r="B205" s="95" t="s">
        <v>141</v>
      </c>
      <c r="C205" s="90" t="s">
        <v>132</v>
      </c>
      <c r="D205" s="91" t="s">
        <v>142</v>
      </c>
      <c r="E205" s="91" t="s">
        <v>143</v>
      </c>
      <c r="F205" s="96" t="s">
        <v>144</v>
      </c>
      <c r="G205" s="91" t="s">
        <v>145</v>
      </c>
      <c r="H205" s="92" t="s">
        <v>383</v>
      </c>
      <c r="I205" s="93">
        <f>12*4*2</f>
        <v>96</v>
      </c>
    </row>
    <row r="206" spans="1:9" ht="114.75">
      <c r="A206" s="88">
        <v>7</v>
      </c>
      <c r="B206" s="91" t="s">
        <v>147</v>
      </c>
      <c r="C206" s="90" t="s">
        <v>136</v>
      </c>
      <c r="D206" s="91" t="s">
        <v>148</v>
      </c>
      <c r="E206" s="91" t="s">
        <v>149</v>
      </c>
      <c r="F206" s="96" t="s">
        <v>150</v>
      </c>
      <c r="G206" s="91" t="s">
        <v>151</v>
      </c>
      <c r="H206" s="92" t="s">
        <v>384</v>
      </c>
      <c r="I206" s="93">
        <f>21*2*3</f>
        <v>126</v>
      </c>
    </row>
    <row r="207" spans="1:9" ht="132" customHeight="1">
      <c r="A207" s="88">
        <v>8</v>
      </c>
      <c r="B207" s="91" t="s">
        <v>152</v>
      </c>
      <c r="C207" s="90" t="s">
        <v>136</v>
      </c>
      <c r="D207" s="91" t="s">
        <v>153</v>
      </c>
      <c r="E207" s="91" t="s">
        <v>154</v>
      </c>
      <c r="F207" s="90" t="s">
        <v>150</v>
      </c>
      <c r="G207" s="91" t="s">
        <v>155</v>
      </c>
      <c r="H207" s="92" t="s">
        <v>384</v>
      </c>
      <c r="I207" s="93">
        <f>21*1*3</f>
        <v>63</v>
      </c>
    </row>
    <row r="208" spans="1:9" ht="117" customHeight="1">
      <c r="A208" s="88">
        <v>9</v>
      </c>
      <c r="B208" s="91" t="s">
        <v>163</v>
      </c>
      <c r="C208" s="90" t="s">
        <v>164</v>
      </c>
      <c r="D208" s="91" t="s">
        <v>158</v>
      </c>
      <c r="E208" s="91" t="s">
        <v>165</v>
      </c>
      <c r="F208" s="91" t="s">
        <v>166</v>
      </c>
      <c r="G208" s="91" t="s">
        <v>161</v>
      </c>
      <c r="H208" s="100" t="s">
        <v>385</v>
      </c>
      <c r="I208" s="93">
        <f>21*3*1</f>
        <v>63</v>
      </c>
    </row>
    <row r="209" spans="1:10" ht="63.75">
      <c r="A209" s="88">
        <v>10</v>
      </c>
      <c r="B209" s="91" t="s">
        <v>167</v>
      </c>
      <c r="C209" s="91" t="s">
        <v>168</v>
      </c>
      <c r="D209" s="91" t="s">
        <v>169</v>
      </c>
      <c r="E209" s="91" t="s">
        <v>170</v>
      </c>
      <c r="F209" s="96" t="s">
        <v>132</v>
      </c>
      <c r="G209" s="90" t="s">
        <v>171</v>
      </c>
      <c r="H209" s="100" t="s">
        <v>385</v>
      </c>
      <c r="I209" s="112">
        <v>147</v>
      </c>
      <c r="J209" s="101" t="s">
        <v>173</v>
      </c>
    </row>
    <row r="210" spans="1:10" ht="27.75" customHeight="1">
      <c r="A210" s="120">
        <v>11</v>
      </c>
      <c r="B210" s="91" t="s">
        <v>386</v>
      </c>
      <c r="C210" s="90" t="s">
        <v>132</v>
      </c>
      <c r="D210" s="91" t="s">
        <v>387</v>
      </c>
      <c r="E210" s="91" t="s">
        <v>388</v>
      </c>
      <c r="F210" s="96" t="s">
        <v>132</v>
      </c>
      <c r="G210" s="90" t="s">
        <v>131</v>
      </c>
      <c r="H210" s="100" t="s">
        <v>389</v>
      </c>
      <c r="I210" s="112">
        <v>40</v>
      </c>
      <c r="J210" s="101"/>
    </row>
    <row r="211" spans="1:10" ht="51">
      <c r="A211" s="120">
        <v>12</v>
      </c>
      <c r="B211" s="91" t="s">
        <v>330</v>
      </c>
      <c r="C211" s="90" t="s">
        <v>132</v>
      </c>
      <c r="D211" s="91" t="s">
        <v>331</v>
      </c>
      <c r="E211" s="91" t="s">
        <v>332</v>
      </c>
      <c r="F211" s="96" t="s">
        <v>132</v>
      </c>
      <c r="G211" s="90" t="s">
        <v>131</v>
      </c>
      <c r="H211" s="100" t="s">
        <v>385</v>
      </c>
      <c r="I211" s="112">
        <f>15*6</f>
        <v>90</v>
      </c>
      <c r="J211" s="101"/>
    </row>
    <row r="212" spans="1:10" ht="51">
      <c r="A212" s="120">
        <v>13</v>
      </c>
      <c r="B212" s="91" t="s">
        <v>334</v>
      </c>
      <c r="C212" s="90" t="s">
        <v>132</v>
      </c>
      <c r="D212" s="91" t="s">
        <v>335</v>
      </c>
      <c r="E212" s="91" t="s">
        <v>332</v>
      </c>
      <c r="F212" s="96" t="s">
        <v>132</v>
      </c>
      <c r="G212" s="90" t="s">
        <v>131</v>
      </c>
      <c r="H212" s="100" t="s">
        <v>385</v>
      </c>
      <c r="I212" s="112">
        <v>34</v>
      </c>
      <c r="J212" s="101"/>
    </row>
    <row r="213" spans="1:9" ht="12.75">
      <c r="A213" s="102" t="s">
        <v>174</v>
      </c>
      <c r="B213" s="102"/>
      <c r="C213" s="102"/>
      <c r="D213" s="102"/>
      <c r="E213" s="102"/>
      <c r="F213" s="102"/>
      <c r="G213" s="102"/>
      <c r="H213" s="102"/>
      <c r="I213" s="103">
        <f>SUM(I200:I212)</f>
        <v>736</v>
      </c>
    </row>
    <row r="214" spans="1:9" s="106" customFormat="1" ht="15.75">
      <c r="A214" s="104" t="s">
        <v>390</v>
      </c>
      <c r="B214" s="104"/>
      <c r="C214" s="104"/>
      <c r="D214" s="104"/>
      <c r="E214" s="104"/>
      <c r="F214" s="104"/>
      <c r="G214" s="104"/>
      <c r="H214" s="104"/>
      <c r="I214" s="105">
        <f>Plan2!N15+0</f>
        <v>-24</v>
      </c>
    </row>
    <row r="215" spans="1:9" ht="13.5">
      <c r="A215" s="113" t="s">
        <v>176</v>
      </c>
      <c r="B215" s="113"/>
      <c r="C215" s="113"/>
      <c r="D215" s="113"/>
      <c r="E215" s="113"/>
      <c r="F215" s="113"/>
      <c r="G215" s="113"/>
      <c r="H215" s="113"/>
      <c r="I215" s="114">
        <f>I214-I213</f>
        <v>-760</v>
      </c>
    </row>
    <row r="216" ht="13.5"/>
    <row r="217" spans="1:9" ht="16.5">
      <c r="A217" s="83" t="s">
        <v>92</v>
      </c>
      <c r="B217" s="83"/>
      <c r="C217" s="83"/>
      <c r="D217" s="83"/>
      <c r="E217" s="83"/>
      <c r="F217" s="83"/>
      <c r="G217" s="83"/>
      <c r="H217" s="83"/>
      <c r="I217" s="83"/>
    </row>
    <row r="218" spans="1:9" ht="16.5" customHeight="1">
      <c r="A218" s="84" t="s">
        <v>111</v>
      </c>
      <c r="B218" s="84" t="s">
        <v>112</v>
      </c>
      <c r="C218" s="85" t="s">
        <v>113</v>
      </c>
      <c r="D218" s="84" t="s">
        <v>114</v>
      </c>
      <c r="E218" s="85" t="s">
        <v>115</v>
      </c>
      <c r="F218" s="84" t="s">
        <v>116</v>
      </c>
      <c r="G218" s="84" t="s">
        <v>117</v>
      </c>
      <c r="H218" s="110" t="s">
        <v>118</v>
      </c>
      <c r="I218" s="110"/>
    </row>
    <row r="219" spans="1:9" ht="16.5" customHeight="1">
      <c r="A219" s="84"/>
      <c r="B219" s="84"/>
      <c r="C219" s="85"/>
      <c r="D219" s="84"/>
      <c r="E219" s="85"/>
      <c r="F219" s="84"/>
      <c r="G219" s="84"/>
      <c r="H219" s="111" t="s">
        <v>119</v>
      </c>
      <c r="I219" s="111" t="s">
        <v>120</v>
      </c>
    </row>
    <row r="220" spans="1:10" ht="89.25">
      <c r="A220" s="88">
        <v>1</v>
      </c>
      <c r="B220" s="95" t="s">
        <v>135</v>
      </c>
      <c r="C220" s="90" t="s">
        <v>132</v>
      </c>
      <c r="D220" s="91" t="s">
        <v>256</v>
      </c>
      <c r="E220" s="91" t="s">
        <v>224</v>
      </c>
      <c r="F220" s="90" t="s">
        <v>225</v>
      </c>
      <c r="G220" s="90" t="s">
        <v>226</v>
      </c>
      <c r="H220" s="92" t="s">
        <v>391</v>
      </c>
      <c r="I220" s="93">
        <f>5*1*3</f>
        <v>15</v>
      </c>
      <c r="J220" s="94" t="s">
        <v>127</v>
      </c>
    </row>
    <row r="221" spans="1:9" ht="63.75">
      <c r="A221" s="88">
        <f>(1+A220)</f>
        <v>2</v>
      </c>
      <c r="B221" s="95" t="s">
        <v>135</v>
      </c>
      <c r="C221" s="90" t="s">
        <v>136</v>
      </c>
      <c r="D221" s="95" t="s">
        <v>137</v>
      </c>
      <c r="E221" s="98" t="s">
        <v>138</v>
      </c>
      <c r="F221" s="96" t="s">
        <v>132</v>
      </c>
      <c r="G221" s="90" t="s">
        <v>139</v>
      </c>
      <c r="H221" s="92" t="s">
        <v>392</v>
      </c>
      <c r="I221" s="93">
        <f>10*4*2</f>
        <v>80</v>
      </c>
    </row>
    <row r="222" spans="1:9" ht="70.5" customHeight="1">
      <c r="A222" s="88">
        <f>(1+A221)</f>
        <v>3</v>
      </c>
      <c r="B222" s="95" t="s">
        <v>186</v>
      </c>
      <c r="C222" s="90" t="s">
        <v>132</v>
      </c>
      <c r="D222" s="97" t="s">
        <v>187</v>
      </c>
      <c r="E222" s="98" t="s">
        <v>188</v>
      </c>
      <c r="F222" s="96" t="s">
        <v>189</v>
      </c>
      <c r="G222" s="99" t="s">
        <v>190</v>
      </c>
      <c r="H222" s="92">
        <v>40149</v>
      </c>
      <c r="I222" s="93">
        <f>1*4*2</f>
        <v>8</v>
      </c>
    </row>
    <row r="223" spans="1:9" ht="119.25" customHeight="1">
      <c r="A223" s="88">
        <f>(1+A222)</f>
        <v>4</v>
      </c>
      <c r="B223" s="91" t="s">
        <v>156</v>
      </c>
      <c r="C223" s="90" t="s">
        <v>157</v>
      </c>
      <c r="D223" s="91" t="s">
        <v>158</v>
      </c>
      <c r="E223" s="91" t="s">
        <v>159</v>
      </c>
      <c r="F223" s="91" t="s">
        <v>160</v>
      </c>
      <c r="G223" s="91" t="s">
        <v>161</v>
      </c>
      <c r="H223" s="100" t="s">
        <v>393</v>
      </c>
      <c r="I223" s="93">
        <f>12*2*3</f>
        <v>72</v>
      </c>
    </row>
    <row r="224" spans="1:9" ht="53.25" customHeight="1">
      <c r="A224" s="88">
        <f>(1+A223)</f>
        <v>5</v>
      </c>
      <c r="B224" s="91" t="s">
        <v>394</v>
      </c>
      <c r="C224" s="90" t="s">
        <v>136</v>
      </c>
      <c r="D224" s="91" t="s">
        <v>395</v>
      </c>
      <c r="E224" s="91" t="s">
        <v>396</v>
      </c>
      <c r="F224" s="96" t="s">
        <v>397</v>
      </c>
      <c r="G224" s="91" t="s">
        <v>398</v>
      </c>
      <c r="H224" s="100" t="s">
        <v>399</v>
      </c>
      <c r="I224" s="93">
        <f>15*4*1.5</f>
        <v>90</v>
      </c>
    </row>
    <row r="225" spans="1:10" ht="63.75">
      <c r="A225" s="88">
        <v>6</v>
      </c>
      <c r="B225" s="91" t="s">
        <v>167</v>
      </c>
      <c r="C225" s="91" t="s">
        <v>168</v>
      </c>
      <c r="D225" s="91" t="s">
        <v>169</v>
      </c>
      <c r="E225" s="91" t="s">
        <v>170</v>
      </c>
      <c r="F225" s="96" t="s">
        <v>132</v>
      </c>
      <c r="G225" s="90" t="s">
        <v>171</v>
      </c>
      <c r="H225" s="100" t="s">
        <v>400</v>
      </c>
      <c r="I225" s="112">
        <v>170</v>
      </c>
      <c r="J225" s="101" t="s">
        <v>361</v>
      </c>
    </row>
    <row r="226" spans="1:10" ht="51">
      <c r="A226" s="120">
        <v>11</v>
      </c>
      <c r="B226" s="91" t="s">
        <v>330</v>
      </c>
      <c r="C226" s="90" t="s">
        <v>132</v>
      </c>
      <c r="D226" s="91" t="s">
        <v>331</v>
      </c>
      <c r="E226" s="91" t="s">
        <v>332</v>
      </c>
      <c r="F226" s="96" t="s">
        <v>132</v>
      </c>
      <c r="G226" s="90" t="s">
        <v>131</v>
      </c>
      <c r="H226" s="100" t="s">
        <v>401</v>
      </c>
      <c r="I226" s="112">
        <f>15*4</f>
        <v>60</v>
      </c>
      <c r="J226" s="127"/>
    </row>
    <row r="227" spans="1:10" ht="51">
      <c r="A227" s="120">
        <v>12</v>
      </c>
      <c r="B227" s="91" t="s">
        <v>334</v>
      </c>
      <c r="C227" s="90" t="s">
        <v>132</v>
      </c>
      <c r="D227" s="91" t="s">
        <v>335</v>
      </c>
      <c r="E227" s="91" t="s">
        <v>332</v>
      </c>
      <c r="F227" s="96" t="s">
        <v>132</v>
      </c>
      <c r="G227" s="90" t="s">
        <v>131</v>
      </c>
      <c r="H227" s="100" t="s">
        <v>400</v>
      </c>
      <c r="I227" s="112">
        <v>73</v>
      </c>
      <c r="J227" s="127"/>
    </row>
    <row r="228" spans="1:9" ht="12.75">
      <c r="A228" s="102" t="s">
        <v>174</v>
      </c>
      <c r="B228" s="102"/>
      <c r="C228" s="102"/>
      <c r="D228" s="102"/>
      <c r="E228" s="102"/>
      <c r="F228" s="102"/>
      <c r="G228" s="102"/>
      <c r="H228" s="102"/>
      <c r="I228" s="128">
        <f>SUM(I220:I227)</f>
        <v>568</v>
      </c>
    </row>
    <row r="229" spans="1:9" s="106" customFormat="1" ht="15.75">
      <c r="A229" s="104" t="s">
        <v>402</v>
      </c>
      <c r="B229" s="104"/>
      <c r="C229" s="104"/>
      <c r="D229" s="104"/>
      <c r="E229" s="104"/>
      <c r="F229" s="104"/>
      <c r="G229" s="104"/>
      <c r="H229" s="104"/>
      <c r="I229" s="105">
        <f>Plan2!N16+0</f>
        <v>-152</v>
      </c>
    </row>
    <row r="230" spans="1:9" ht="13.5">
      <c r="A230" s="113" t="s">
        <v>176</v>
      </c>
      <c r="B230" s="113"/>
      <c r="C230" s="113"/>
      <c r="D230" s="113"/>
      <c r="E230" s="113"/>
      <c r="F230" s="113"/>
      <c r="G230" s="113"/>
      <c r="H230" s="113"/>
      <c r="I230" s="114">
        <f>I229-I228</f>
        <v>-720</v>
      </c>
    </row>
    <row r="233" ht="13.5"/>
    <row r="234" spans="1:9" ht="15.75">
      <c r="A234" s="129" t="s">
        <v>403</v>
      </c>
      <c r="B234" s="129"/>
      <c r="C234" s="129"/>
      <c r="D234" s="129"/>
      <c r="E234" s="129"/>
      <c r="F234" s="129"/>
      <c r="G234" s="129"/>
      <c r="H234" s="129"/>
      <c r="I234" s="130">
        <f>I228+I213+I193+I174+I156+I137+I120+I100+I80+I59+I36+I15</f>
        <v>8592</v>
      </c>
    </row>
    <row r="235" spans="1:9" ht="15.75">
      <c r="A235" s="104" t="s">
        <v>404</v>
      </c>
      <c r="B235" s="104"/>
      <c r="C235" s="104"/>
      <c r="D235" s="104"/>
      <c r="E235" s="104"/>
      <c r="F235" s="104"/>
      <c r="G235" s="104"/>
      <c r="H235" s="104"/>
      <c r="I235" s="131">
        <f>I229+I214+I194+I175+I157+I138+I121+I101+I81+I60+I37+I16</f>
        <v>-688</v>
      </c>
    </row>
    <row r="236" spans="1:9" ht="16.5">
      <c r="A236" s="132" t="s">
        <v>176</v>
      </c>
      <c r="B236" s="132"/>
      <c r="C236" s="132"/>
      <c r="D236" s="132"/>
      <c r="E236" s="132"/>
      <c r="F236" s="132"/>
      <c r="G236" s="132"/>
      <c r="H236" s="132"/>
      <c r="I236" s="133">
        <f>I235-I234</f>
        <v>-9280</v>
      </c>
    </row>
  </sheetData>
  <sheetProtection selectLockedCells="1" selectUnlockedCells="1"/>
  <mergeCells count="147">
    <mergeCell ref="A3:I3"/>
    <mergeCell ref="A4:A5"/>
    <mergeCell ref="B4:B5"/>
    <mergeCell ref="C4:C5"/>
    <mergeCell ref="D4:D5"/>
    <mergeCell ref="E4:E5"/>
    <mergeCell ref="F4:F5"/>
    <mergeCell ref="G4:G5"/>
    <mergeCell ref="H4:I4"/>
    <mergeCell ref="A15:H15"/>
    <mergeCell ref="A16:H16"/>
    <mergeCell ref="A17:H17"/>
    <mergeCell ref="A19:I19"/>
    <mergeCell ref="A20:A21"/>
    <mergeCell ref="B20:B21"/>
    <mergeCell ref="C20:C21"/>
    <mergeCell ref="D20:D21"/>
    <mergeCell ref="E20:E21"/>
    <mergeCell ref="F20:F21"/>
    <mergeCell ref="G20:G21"/>
    <mergeCell ref="H20:I20"/>
    <mergeCell ref="A36:H36"/>
    <mergeCell ref="A37:H37"/>
    <mergeCell ref="A38:H38"/>
    <mergeCell ref="A40:I40"/>
    <mergeCell ref="A41:A42"/>
    <mergeCell ref="B41:B42"/>
    <mergeCell ref="C41:C42"/>
    <mergeCell ref="D41:D42"/>
    <mergeCell ref="E41:E42"/>
    <mergeCell ref="F41:F42"/>
    <mergeCell ref="G41:G42"/>
    <mergeCell ref="H41:I41"/>
    <mergeCell ref="A59:H59"/>
    <mergeCell ref="A60:H60"/>
    <mergeCell ref="A61:H61"/>
    <mergeCell ref="A63:I63"/>
    <mergeCell ref="A64:A65"/>
    <mergeCell ref="B64:B65"/>
    <mergeCell ref="C64:C65"/>
    <mergeCell ref="D64:D65"/>
    <mergeCell ref="E64:E65"/>
    <mergeCell ref="F64:F65"/>
    <mergeCell ref="G64:G65"/>
    <mergeCell ref="H64:I64"/>
    <mergeCell ref="A80:H80"/>
    <mergeCell ref="A81:H81"/>
    <mergeCell ref="A82:H82"/>
    <mergeCell ref="A84:I84"/>
    <mergeCell ref="A85:A86"/>
    <mergeCell ref="B85:B86"/>
    <mergeCell ref="C85:C86"/>
    <mergeCell ref="D85:D86"/>
    <mergeCell ref="E85:E86"/>
    <mergeCell ref="F85:F86"/>
    <mergeCell ref="G85:G86"/>
    <mergeCell ref="H85:I85"/>
    <mergeCell ref="A100:H100"/>
    <mergeCell ref="A101:H101"/>
    <mergeCell ref="A102:H102"/>
    <mergeCell ref="A104:I104"/>
    <mergeCell ref="A105:A106"/>
    <mergeCell ref="B105:B106"/>
    <mergeCell ref="C105:C106"/>
    <mergeCell ref="D105:D106"/>
    <mergeCell ref="E105:E106"/>
    <mergeCell ref="F105:F106"/>
    <mergeCell ref="G105:G106"/>
    <mergeCell ref="H105:I105"/>
    <mergeCell ref="A120:H120"/>
    <mergeCell ref="A121:H121"/>
    <mergeCell ref="A122:H122"/>
    <mergeCell ref="A124:I124"/>
    <mergeCell ref="A125:A126"/>
    <mergeCell ref="B125:B126"/>
    <mergeCell ref="C125:C126"/>
    <mergeCell ref="D125:D126"/>
    <mergeCell ref="E125:E126"/>
    <mergeCell ref="F125:F126"/>
    <mergeCell ref="G125:G126"/>
    <mergeCell ref="H125:I125"/>
    <mergeCell ref="A137:H137"/>
    <mergeCell ref="A138:H138"/>
    <mergeCell ref="A139:H139"/>
    <mergeCell ref="A141:I141"/>
    <mergeCell ref="A142:A143"/>
    <mergeCell ref="B142:B143"/>
    <mergeCell ref="C142:C143"/>
    <mergeCell ref="D142:D143"/>
    <mergeCell ref="E142:E143"/>
    <mergeCell ref="F142:F143"/>
    <mergeCell ref="G142:G143"/>
    <mergeCell ref="H142:I142"/>
    <mergeCell ref="A156:H156"/>
    <mergeCell ref="A157:H157"/>
    <mergeCell ref="A158:H158"/>
    <mergeCell ref="A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A174:H174"/>
    <mergeCell ref="A175:H175"/>
    <mergeCell ref="A176:H176"/>
    <mergeCell ref="A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A193:H193"/>
    <mergeCell ref="A194:H194"/>
    <mergeCell ref="A195:H195"/>
    <mergeCell ref="A197:I197"/>
    <mergeCell ref="A198:A199"/>
    <mergeCell ref="B198:B199"/>
    <mergeCell ref="C198:C199"/>
    <mergeCell ref="D198:D199"/>
    <mergeCell ref="E198:E199"/>
    <mergeCell ref="F198:F199"/>
    <mergeCell ref="G198:G199"/>
    <mergeCell ref="H198:I198"/>
    <mergeCell ref="A213:H213"/>
    <mergeCell ref="A214:H214"/>
    <mergeCell ref="A215:H215"/>
    <mergeCell ref="A217:I217"/>
    <mergeCell ref="A218:A219"/>
    <mergeCell ref="B218:B219"/>
    <mergeCell ref="C218:C219"/>
    <mergeCell ref="D218:D219"/>
    <mergeCell ref="E218:E219"/>
    <mergeCell ref="F218:F219"/>
    <mergeCell ref="G218:G219"/>
    <mergeCell ref="H218:I218"/>
    <mergeCell ref="A228:H228"/>
    <mergeCell ref="A229:H229"/>
    <mergeCell ref="A230:H230"/>
    <mergeCell ref="A234:H234"/>
    <mergeCell ref="A235:H235"/>
    <mergeCell ref="A236:H23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4"/>
  <rowBreaks count="10" manualBreakCount="10">
    <brk id="17" max="255" man="1"/>
    <brk id="38" max="255" man="1"/>
    <brk id="82" max="255" man="1"/>
    <brk id="102" max="255" man="1"/>
    <brk id="122" max="255" man="1"/>
    <brk id="139" max="255" man="1"/>
    <brk id="158" max="255" man="1"/>
    <brk id="176" max="255" man="1"/>
    <brk id="195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102"/>
  <sheetViews>
    <sheetView workbookViewId="0" topLeftCell="C1">
      <selection activeCell="A108" sqref="A108"/>
    </sheetView>
  </sheetViews>
  <sheetFormatPr defaultColWidth="9.140625" defaultRowHeight="12.75"/>
  <cols>
    <col min="1" max="1" width="72.8515625" style="0" customWidth="1"/>
    <col min="2" max="2" width="57.00390625" style="0" customWidth="1"/>
    <col min="3" max="3" width="21.8515625" style="0" customWidth="1"/>
    <col min="4" max="4" width="15.28125" style="0" customWidth="1"/>
    <col min="5" max="5" width="20.8515625" style="0" customWidth="1"/>
    <col min="7" max="7" width="26.00390625" style="0" customWidth="1"/>
  </cols>
  <sheetData>
    <row r="3" spans="1:4" ht="15.75" customHeight="1">
      <c r="A3" s="134" t="s">
        <v>405</v>
      </c>
      <c r="B3" s="134"/>
      <c r="C3" s="134"/>
      <c r="D3" s="135">
        <v>645674480</v>
      </c>
    </row>
    <row r="4" ht="16.5">
      <c r="A4" s="82"/>
    </row>
    <row r="5" spans="1:10" ht="15.75" customHeight="1">
      <c r="A5" s="136" t="s">
        <v>406</v>
      </c>
      <c r="B5" s="136"/>
      <c r="C5" s="136"/>
      <c r="F5">
        <v>1</v>
      </c>
      <c r="G5" s="137" t="s">
        <v>407</v>
      </c>
      <c r="H5" s="138"/>
      <c r="I5" s="139" t="s">
        <v>408</v>
      </c>
      <c r="J5" s="140">
        <v>0.25</v>
      </c>
    </row>
    <row r="6" spans="1:10" ht="15.75" customHeight="1">
      <c r="A6" s="141" t="s">
        <v>409</v>
      </c>
      <c r="B6" s="141"/>
      <c r="C6" s="141"/>
      <c r="F6">
        <v>2</v>
      </c>
      <c r="G6" s="142" t="s">
        <v>410</v>
      </c>
      <c r="H6" s="143">
        <v>0.1</v>
      </c>
      <c r="I6" s="144" t="s">
        <v>411</v>
      </c>
      <c r="J6" s="143">
        <v>0.25</v>
      </c>
    </row>
    <row r="7" spans="1:10" ht="15.75" customHeight="1">
      <c r="A7" s="141" t="s">
        <v>412</v>
      </c>
      <c r="B7" s="145" t="s">
        <v>413</v>
      </c>
      <c r="C7" s="145" t="s">
        <v>414</v>
      </c>
      <c r="F7">
        <v>3</v>
      </c>
      <c r="G7" s="142" t="s">
        <v>415</v>
      </c>
      <c r="H7" s="143">
        <v>0.01</v>
      </c>
      <c r="I7" s="144" t="s">
        <v>411</v>
      </c>
      <c r="J7" s="143">
        <v>0.1</v>
      </c>
    </row>
    <row r="8" spans="1:10" ht="30.75" customHeight="1">
      <c r="A8" s="142" t="s">
        <v>416</v>
      </c>
      <c r="B8" s="146" t="s">
        <v>417</v>
      </c>
      <c r="C8" s="147">
        <v>191234495</v>
      </c>
      <c r="D8" s="148">
        <f>C8/D$3</f>
        <v>0.29617787433692594</v>
      </c>
      <c r="E8">
        <f>IF(D8&lt;J$9,G$9,IF(D8&lt;J$8,G$8,IF(D8&lt;J$7,G$7,IF(D8&lt;J$6,G$6,G$5))))</f>
        <v>0</v>
      </c>
      <c r="F8">
        <v>4</v>
      </c>
      <c r="G8" s="142" t="s">
        <v>418</v>
      </c>
      <c r="H8" s="149">
        <v>0.001</v>
      </c>
      <c r="I8" s="144" t="s">
        <v>411</v>
      </c>
      <c r="J8" s="143">
        <v>0.01</v>
      </c>
    </row>
    <row r="9" spans="1:10" ht="15.75" customHeight="1">
      <c r="A9" s="136" t="s">
        <v>419</v>
      </c>
      <c r="B9" s="136"/>
      <c r="C9" s="136"/>
      <c r="F9">
        <v>5</v>
      </c>
      <c r="G9" s="142" t="s">
        <v>420</v>
      </c>
      <c r="H9" s="146"/>
      <c r="I9" s="144" t="s">
        <v>421</v>
      </c>
      <c r="J9" s="149">
        <v>0.001</v>
      </c>
    </row>
    <row r="10" spans="1:3" ht="15.75" customHeight="1">
      <c r="A10" s="141" t="s">
        <v>422</v>
      </c>
      <c r="B10" s="141"/>
      <c r="C10" s="141"/>
    </row>
    <row r="11" spans="1:5" ht="38.25" customHeight="1">
      <c r="A11" s="142" t="s">
        <v>423</v>
      </c>
      <c r="B11" s="146" t="s">
        <v>424</v>
      </c>
      <c r="C11" s="147">
        <v>12961676</v>
      </c>
      <c r="D11" s="148">
        <f>C11/D$3</f>
        <v>0.020074629556367164</v>
      </c>
      <c r="E11">
        <f>IF(D11&lt;J$9,G$9,IF(D11&lt;J$8,G$8,IF(D11&lt;J$7,G$7,IF(D11&lt;J$6,G$6,G$5))))</f>
        <v>0</v>
      </c>
    </row>
    <row r="12" spans="1:3" ht="15.75" customHeight="1">
      <c r="A12" s="150" t="s">
        <v>425</v>
      </c>
      <c r="B12" s="150"/>
      <c r="C12" s="150"/>
    </row>
    <row r="13" spans="1:5" ht="25.5" customHeight="1">
      <c r="A13" s="142" t="s">
        <v>426</v>
      </c>
      <c r="B13" s="146" t="s">
        <v>427</v>
      </c>
      <c r="C13" s="147">
        <v>214332</v>
      </c>
      <c r="D13" s="148">
        <f>C13/D$3</f>
        <v>0.0003319505519251744</v>
      </c>
      <c r="E13">
        <f>IF(D13&lt;J$9,G$9,IF(D13&lt;J$8,G$8,IF(D13&lt;J$7,G$7,IF(D13&lt;J$6,G$6,G$5))))</f>
        <v>0</v>
      </c>
    </row>
    <row r="14" spans="1:3" ht="15.75" customHeight="1">
      <c r="A14" s="151" t="s">
        <v>428</v>
      </c>
      <c r="B14" s="151"/>
      <c r="C14" s="151"/>
    </row>
    <row r="15" spans="1:5" ht="28.5" customHeight="1">
      <c r="A15" s="142" t="s">
        <v>429</v>
      </c>
      <c r="B15" s="146" t="s">
        <v>427</v>
      </c>
      <c r="C15" s="147">
        <v>532736</v>
      </c>
      <c r="D15" s="148">
        <f>C15/D$3</f>
        <v>0.0008250844914917499</v>
      </c>
      <c r="E15">
        <f>IF(D15&lt;J$9,G$9,IF(D15&lt;J$8,G$8,IF(D15&lt;J$7,G$7,IF(D15&lt;J$6,G$6,G$5))))</f>
        <v>0</v>
      </c>
    </row>
    <row r="16" spans="1:3" ht="15.75" customHeight="1">
      <c r="A16" s="151" t="s">
        <v>430</v>
      </c>
      <c r="B16" s="151"/>
      <c r="C16" s="151"/>
    </row>
    <row r="17" spans="1:5" ht="24" customHeight="1">
      <c r="A17" s="142" t="s">
        <v>431</v>
      </c>
      <c r="B17" s="146" t="s">
        <v>432</v>
      </c>
      <c r="C17" s="147">
        <v>6084160</v>
      </c>
      <c r="D17" s="148">
        <f>C17/D$3</f>
        <v>0.009422952568916771</v>
      </c>
      <c r="E17">
        <f>IF(D17&lt;J$9,G$9,IF(D17&lt;J$8,G$8,IF(D17&lt;J$7,G$7,IF(D17&lt;J$6,G$6,G$5))))</f>
        <v>0</v>
      </c>
    </row>
    <row r="18" spans="1:3" ht="15.75" customHeight="1">
      <c r="A18" s="150" t="s">
        <v>433</v>
      </c>
      <c r="B18" s="150"/>
      <c r="C18" s="150"/>
    </row>
    <row r="19" spans="1:5" ht="29.25" customHeight="1">
      <c r="A19" s="142" t="s">
        <v>434</v>
      </c>
      <c r="B19" s="146" t="s">
        <v>427</v>
      </c>
      <c r="C19" s="147">
        <v>422511</v>
      </c>
      <c r="D19" s="148">
        <f>C19/D$3</f>
        <v>0.0006543715340894378</v>
      </c>
      <c r="E19">
        <f>IF(D19&lt;J$9,G$9,IF(D19&lt;J$8,G$8,IF(D19&lt;J$7,G$7,IF(D19&lt;J$6,G$6,G$5))))</f>
        <v>0</v>
      </c>
    </row>
    <row r="20" spans="1:3" ht="15.75" customHeight="1">
      <c r="A20" s="152"/>
      <c r="B20" s="153"/>
      <c r="C20" s="154"/>
    </row>
    <row r="21" spans="1:3" ht="15.75" customHeight="1">
      <c r="A21" s="155" t="s">
        <v>435</v>
      </c>
      <c r="B21" s="155"/>
      <c r="C21" s="155"/>
    </row>
    <row r="22" spans="1:3" ht="19.5" customHeight="1">
      <c r="A22" s="141" t="s">
        <v>436</v>
      </c>
      <c r="B22" s="141"/>
      <c r="C22" s="141"/>
    </row>
    <row r="23" spans="1:5" ht="36" customHeight="1">
      <c r="A23" s="142" t="s">
        <v>437</v>
      </c>
      <c r="B23" s="146" t="s">
        <v>432</v>
      </c>
      <c r="C23" s="147">
        <v>5097381</v>
      </c>
      <c r="D23" s="148">
        <f>C23/D$3</f>
        <v>0.007894660789443002</v>
      </c>
      <c r="E23">
        <f>IF(D23&lt;J$9,G$9,IF(D23&lt;J$8,G$8,IF(D23&lt;J$7,G$7,IF(D23&lt;J$6,G$6,G$5))))</f>
        <v>0</v>
      </c>
    </row>
    <row r="24" spans="1:3" ht="36" customHeight="1">
      <c r="A24" s="150" t="s">
        <v>438</v>
      </c>
      <c r="B24" s="150"/>
      <c r="C24" s="150"/>
    </row>
    <row r="25" spans="1:5" ht="48">
      <c r="A25" s="142" t="s">
        <v>439</v>
      </c>
      <c r="B25" s="146" t="s">
        <v>440</v>
      </c>
      <c r="C25" s="147">
        <v>666262</v>
      </c>
      <c r="D25" s="148">
        <f>C25/D$3</f>
        <v>0.0010318852930349671</v>
      </c>
      <c r="E25">
        <f>IF(D25&lt;J$9,G$9,IF(D25&lt;J$8,G$8,IF(D25&lt;J$7,G$7,IF(D25&lt;J$6,G$6,G$5))))</f>
        <v>0</v>
      </c>
    </row>
    <row r="26" ht="13.5"/>
    <row r="27" spans="1:3" ht="15.75" customHeight="1">
      <c r="A27" s="156" t="s">
        <v>441</v>
      </c>
      <c r="B27" s="156"/>
      <c r="C27" s="156"/>
    </row>
    <row r="28" spans="1:3" ht="16.5" customHeight="1">
      <c r="A28" s="157" t="s">
        <v>442</v>
      </c>
      <c r="B28" s="157"/>
      <c r="C28" s="157"/>
    </row>
    <row r="29" spans="1:3" ht="16.5">
      <c r="A29" s="141" t="s">
        <v>412</v>
      </c>
      <c r="B29" s="145" t="s">
        <v>443</v>
      </c>
      <c r="C29" s="145" t="s">
        <v>414</v>
      </c>
    </row>
    <row r="30" spans="1:5" ht="16.5">
      <c r="A30" s="142" t="s">
        <v>444</v>
      </c>
      <c r="B30" s="146" t="s">
        <v>440</v>
      </c>
      <c r="C30" s="147">
        <v>100021</v>
      </c>
      <c r="D30" s="148">
        <f>C30/D$3</f>
        <v>0.00015490932830425634</v>
      </c>
      <c r="E30">
        <f>IF(D30&lt;J$9,G$9,IF(D30&lt;J$8,G$8,IF(D30&lt;J$7,G$7,IF(D30&lt;J$6,G$6,G$5))))</f>
        <v>0</v>
      </c>
    </row>
    <row r="31" spans="1:3" ht="16.5" customHeight="1">
      <c r="A31" s="150" t="s">
        <v>445</v>
      </c>
      <c r="B31" s="150"/>
      <c r="C31" s="150"/>
    </row>
    <row r="32" spans="1:5" ht="16.5">
      <c r="A32" s="142" t="s">
        <v>446</v>
      </c>
      <c r="B32" s="146" t="s">
        <v>440</v>
      </c>
      <c r="C32" s="147">
        <v>1066001</v>
      </c>
      <c r="D32" s="148">
        <f>C32/D$3</f>
        <v>0.0016509882812775875</v>
      </c>
      <c r="E32">
        <f>IF(D32&lt;J$9,G$9,IF(D32&lt;J$8,G$8,IF(D32&lt;J$7,G$7,IF(D32&lt;J$6,G$6,G$5))))</f>
        <v>0</v>
      </c>
    </row>
    <row r="33" spans="1:3" ht="16.5" customHeight="1">
      <c r="A33" s="158"/>
      <c r="B33" s="158"/>
      <c r="C33" s="158"/>
    </row>
    <row r="34" spans="1:3" ht="15.75" customHeight="1">
      <c r="A34" s="156" t="s">
        <v>447</v>
      </c>
      <c r="B34" s="156"/>
      <c r="C34" s="156"/>
    </row>
    <row r="35" spans="1:3" ht="16.5" customHeight="1">
      <c r="A35" s="157" t="s">
        <v>448</v>
      </c>
      <c r="B35" s="157"/>
      <c r="C35" s="157"/>
    </row>
    <row r="36" spans="1:5" ht="16.5">
      <c r="A36" s="142" t="s">
        <v>449</v>
      </c>
      <c r="B36" s="146" t="s">
        <v>440</v>
      </c>
      <c r="C36" s="147">
        <v>2559444</v>
      </c>
      <c r="D36" s="148">
        <f>C36/D$3</f>
        <v>0.003963985071858501</v>
      </c>
      <c r="E36">
        <f>IF(D36&lt;J$9,G$9,IF(D36&lt;J$8,G$8,IF(D36&lt;J$7,G$7,IF(D36&lt;J$6,G$6,G$5))))</f>
        <v>0</v>
      </c>
    </row>
    <row r="37" spans="1:3" ht="16.5">
      <c r="A37" s="158"/>
      <c r="B37" s="158"/>
      <c r="C37" s="158"/>
    </row>
    <row r="38" spans="1:3" ht="15.75" customHeight="1">
      <c r="A38" s="156" t="s">
        <v>450</v>
      </c>
      <c r="B38" s="156"/>
      <c r="C38" s="156"/>
    </row>
    <row r="39" spans="1:3" ht="16.5" customHeight="1">
      <c r="A39" s="157" t="s">
        <v>451</v>
      </c>
      <c r="B39" s="157"/>
      <c r="C39" s="157"/>
    </row>
    <row r="40" spans="1:3" ht="16.5">
      <c r="A40" s="141" t="s">
        <v>412</v>
      </c>
      <c r="B40" s="145" t="s">
        <v>443</v>
      </c>
      <c r="C40" s="145" t="s">
        <v>414</v>
      </c>
    </row>
    <row r="41" spans="1:5" ht="32.25">
      <c r="A41" s="142" t="s">
        <v>452</v>
      </c>
      <c r="B41" s="146" t="s">
        <v>440</v>
      </c>
      <c r="C41" s="147">
        <v>1000000</v>
      </c>
      <c r="D41" s="148">
        <f>C41/D$3</f>
        <v>0.0015487680417537951</v>
      </c>
      <c r="E41">
        <f>IF(D41&lt;J$9,G$9,IF(D41&lt;J$8,G$8,IF(D41&lt;J$7,G$7,IF(D41&lt;J$6,G$6,G$5))))</f>
        <v>0</v>
      </c>
    </row>
    <row r="42" ht="13.5"/>
    <row r="43" spans="1:3" ht="15.75" customHeight="1">
      <c r="A43" s="136" t="s">
        <v>453</v>
      </c>
      <c r="B43" s="136"/>
      <c r="C43" s="136"/>
    </row>
    <row r="44" spans="1:3" ht="16.5" customHeight="1">
      <c r="A44" s="141" t="s">
        <v>454</v>
      </c>
      <c r="B44" s="141"/>
      <c r="C44" s="141"/>
    </row>
    <row r="45" spans="1:3" ht="16.5">
      <c r="A45" s="141" t="s">
        <v>412</v>
      </c>
      <c r="B45" s="145" t="s">
        <v>443</v>
      </c>
      <c r="C45" s="145" t="s">
        <v>414</v>
      </c>
    </row>
    <row r="46" spans="1:5" ht="32.25">
      <c r="A46" s="142" t="s">
        <v>455</v>
      </c>
      <c r="B46" s="146" t="s">
        <v>456</v>
      </c>
      <c r="C46" s="147">
        <v>8488147</v>
      </c>
      <c r="D46" s="148">
        <f>C46/D$3</f>
        <v>0.01314617080730835</v>
      </c>
      <c r="E46">
        <f>IF(D46&lt;J$9,G$9,IF(D46&lt;J$8,G$8,IF(D46&lt;J$7,G$7,IF(D46&lt;J$6,G$6,G$5))))</f>
        <v>0</v>
      </c>
    </row>
    <row r="47" spans="1:3" ht="16.5" customHeight="1">
      <c r="A47" s="150" t="s">
        <v>457</v>
      </c>
      <c r="B47" s="150"/>
      <c r="C47" s="150"/>
    </row>
    <row r="48" spans="1:5" ht="16.5">
      <c r="A48" s="142" t="s">
        <v>458</v>
      </c>
      <c r="B48" s="146" t="s">
        <v>440</v>
      </c>
      <c r="C48" s="147">
        <v>500000</v>
      </c>
      <c r="D48" s="148">
        <f>C48/D$3</f>
        <v>0.0007743840208768976</v>
      </c>
      <c r="E48">
        <f>IF(D48&lt;J$9,G$9,IF(D48&lt;J$8,G$8,IF(D48&lt;J$7,G$7,IF(D48&lt;J$6,G$6,G$5))))</f>
        <v>0</v>
      </c>
    </row>
    <row r="49" spans="1:3" ht="16.5" customHeight="1">
      <c r="A49" s="150" t="s">
        <v>459</v>
      </c>
      <c r="B49" s="150"/>
      <c r="C49" s="150"/>
    </row>
    <row r="50" spans="1:5" ht="32.25">
      <c r="A50" s="142" t="s">
        <v>460</v>
      </c>
      <c r="B50" s="146" t="s">
        <v>461</v>
      </c>
      <c r="C50" s="147">
        <v>1200000</v>
      </c>
      <c r="D50" s="148">
        <f>C50/D$3</f>
        <v>0.0018585216501045543</v>
      </c>
      <c r="E50">
        <f>IF(D50&lt;J$9,G$9,IF(D50&lt;J$8,G$8,IF(D50&lt;J$7,G$7,IF(D50&lt;J$6,G$6,G$5))))</f>
        <v>0</v>
      </c>
    </row>
    <row r="51" spans="1:3" ht="16.5" customHeight="1">
      <c r="A51" s="150" t="s">
        <v>462</v>
      </c>
      <c r="B51" s="150"/>
      <c r="C51" s="150"/>
    </row>
    <row r="52" spans="1:5" ht="15.75" customHeight="1">
      <c r="A52" s="159" t="s">
        <v>463</v>
      </c>
      <c r="B52" s="137" t="s">
        <v>456</v>
      </c>
      <c r="C52" s="160">
        <v>331257373</v>
      </c>
      <c r="D52" s="148">
        <f>C52/D$3</f>
        <v>0.5130408328977165</v>
      </c>
      <c r="E52">
        <f>IF(D52&lt;J$9,G$9,IF(D52&lt;J$8,G$8,IF(D52&lt;J$7,G$7,IF(D52&lt;J$6,G$6,G$5))))</f>
        <v>0</v>
      </c>
    </row>
    <row r="53" spans="1:3" ht="79.5">
      <c r="A53" s="142" t="s">
        <v>464</v>
      </c>
      <c r="B53" s="137"/>
      <c r="C53" s="160"/>
    </row>
    <row r="54" spans="1:3" ht="16.5">
      <c r="A54" s="141" t="s">
        <v>465</v>
      </c>
      <c r="B54" s="146"/>
      <c r="C54" s="161"/>
    </row>
    <row r="55" spans="1:5" ht="16.5">
      <c r="A55" s="142" t="s">
        <v>466</v>
      </c>
      <c r="B55" s="146" t="s">
        <v>440</v>
      </c>
      <c r="C55" s="147">
        <v>140000</v>
      </c>
      <c r="D55" s="148">
        <f>C55/D$3</f>
        <v>0.00021682752584553132</v>
      </c>
      <c r="E55">
        <f>IF(D55&lt;J$9,G$9,IF(D55&lt;J$8,G$8,IF(D55&lt;J$7,G$7,IF(D55&lt;J$6,G$6,G$5))))</f>
        <v>0</v>
      </c>
    </row>
    <row r="56" spans="1:3" ht="16.5" customHeight="1">
      <c r="A56" s="141" t="s">
        <v>467</v>
      </c>
      <c r="B56" s="141"/>
      <c r="C56" s="141"/>
    </row>
    <row r="57" spans="1:5" ht="16.5">
      <c r="A57" s="142" t="s">
        <v>468</v>
      </c>
      <c r="B57" s="146" t="s">
        <v>456</v>
      </c>
      <c r="C57" s="147">
        <v>9808271</v>
      </c>
      <c r="D57" s="148">
        <f>C57/D$3</f>
        <v>0.015190736669660539</v>
      </c>
      <c r="E57">
        <f>IF(D57&lt;J$9,G$9,IF(D57&lt;J$8,G$8,IF(D57&lt;J$7,G$7,IF(D57&lt;J$6,G$6,G$5))))</f>
        <v>0</v>
      </c>
    </row>
    <row r="58" spans="1:3" ht="16.5" customHeight="1">
      <c r="A58" s="150" t="s">
        <v>469</v>
      </c>
      <c r="B58" s="150"/>
      <c r="C58" s="150"/>
    </row>
    <row r="59" spans="1:5" ht="32.25">
      <c r="A59" s="142" t="s">
        <v>470</v>
      </c>
      <c r="B59" s="146" t="s">
        <v>456</v>
      </c>
      <c r="C59" s="147">
        <v>18388918</v>
      </c>
      <c r="D59" s="148">
        <f>C59/D$3</f>
        <v>0.028480168520831114</v>
      </c>
      <c r="E59">
        <f>IF(D59&lt;J$9,G$9,IF(D59&lt;J$8,G$8,IF(D59&lt;J$7,G$7,IF(D59&lt;J$6,G$6,G$5))))</f>
        <v>0</v>
      </c>
    </row>
    <row r="60" spans="1:3" ht="16.5" customHeight="1">
      <c r="A60" s="150" t="s">
        <v>471</v>
      </c>
      <c r="B60" s="150"/>
      <c r="C60" s="150"/>
    </row>
    <row r="61" spans="1:5" ht="32.25">
      <c r="A61" s="142" t="s">
        <v>472</v>
      </c>
      <c r="B61" s="146" t="s">
        <v>440</v>
      </c>
      <c r="C61" s="147">
        <v>49155623</v>
      </c>
      <c r="D61" s="148">
        <f>C61/D$3</f>
        <v>0.07613065797489782</v>
      </c>
      <c r="E61">
        <f>IF(D61&lt;J$9,G$9,IF(D61&lt;J$8,G$8,IF(D61&lt;J$7,G$7,IF(D61&lt;J$6,G$6,G$5))))</f>
        <v>0</v>
      </c>
    </row>
    <row r="62" spans="1:3" ht="16.5">
      <c r="A62" s="158"/>
      <c r="B62" s="158"/>
      <c r="C62" s="158"/>
    </row>
    <row r="63" spans="1:3" ht="15.75" customHeight="1">
      <c r="A63" s="156" t="s">
        <v>473</v>
      </c>
      <c r="B63" s="156"/>
      <c r="C63" s="156"/>
    </row>
    <row r="64" spans="1:3" ht="16.5" customHeight="1">
      <c r="A64" s="157" t="s">
        <v>474</v>
      </c>
      <c r="B64" s="157"/>
      <c r="C64" s="157"/>
    </row>
    <row r="65" spans="1:5" ht="16.5">
      <c r="A65" s="142" t="s">
        <v>475</v>
      </c>
      <c r="B65" s="146" t="s">
        <v>476</v>
      </c>
      <c r="C65" s="147">
        <v>647000</v>
      </c>
      <c r="D65" s="148">
        <f>C65/D$3</f>
        <v>0.0010020529230147055</v>
      </c>
      <c r="E65">
        <f>IF(D65&lt;J$9,G$9,IF(D65&lt;J$8,G$8,IF(D65&lt;J$7,G$7,IF(D65&lt;J$6,G$6,G$5))))</f>
        <v>0</v>
      </c>
    </row>
    <row r="66" spans="1:3" ht="16.5">
      <c r="A66" s="142"/>
      <c r="B66" s="146"/>
      <c r="C66" s="161"/>
    </row>
    <row r="67" spans="1:3" ht="15.75" customHeight="1">
      <c r="A67" s="156" t="s">
        <v>477</v>
      </c>
      <c r="B67" s="156"/>
      <c r="C67" s="156"/>
    </row>
    <row r="68" spans="1:3" ht="16.5" customHeight="1">
      <c r="A68" s="157" t="s">
        <v>478</v>
      </c>
      <c r="B68" s="157"/>
      <c r="C68" s="157"/>
    </row>
    <row r="69" spans="1:5" ht="48">
      <c r="A69" s="142" t="s">
        <v>479</v>
      </c>
      <c r="B69" s="146" t="s">
        <v>480</v>
      </c>
      <c r="C69" s="147">
        <v>3700129</v>
      </c>
      <c r="D69" s="148">
        <f>C69/D$3</f>
        <v>0.005730641545566429</v>
      </c>
      <c r="E69">
        <f>IF(D69&lt;J$9,G$9,IF(D69&lt;J$8,G$8,IF(D69&lt;J$7,G$7,IF(D69&lt;J$6,G$6,G$5))))</f>
        <v>0</v>
      </c>
    </row>
    <row r="70" spans="1:3" ht="16.5" customHeight="1">
      <c r="A70" s="150" t="s">
        <v>481</v>
      </c>
      <c r="B70" s="150"/>
      <c r="C70" s="150"/>
    </row>
    <row r="71" spans="1:5" ht="16.5">
      <c r="A71" s="142" t="s">
        <v>482</v>
      </c>
      <c r="B71" s="146" t="s">
        <v>483</v>
      </c>
      <c r="C71" s="147">
        <v>450000</v>
      </c>
      <c r="D71" s="148">
        <f>C71/D$3</f>
        <v>0.0006969456187892078</v>
      </c>
      <c r="E71">
        <f>IF(D71&lt;J$9,G$9,IF(D71&lt;J$8,G$8,IF(D71&lt;J$7,G$7,IF(D71&lt;J$6,G$6,G$5))))</f>
        <v>0</v>
      </c>
    </row>
    <row r="74" spans="1:4" ht="15.75">
      <c r="A74" s="82" t="s">
        <v>484</v>
      </c>
      <c r="D74" s="135">
        <v>70721481</v>
      </c>
    </row>
    <row r="75" ht="13.5"/>
    <row r="76" spans="1:3" ht="15.75" customHeight="1">
      <c r="A76" s="136" t="s">
        <v>406</v>
      </c>
      <c r="B76" s="136"/>
      <c r="C76" s="136"/>
    </row>
    <row r="77" spans="1:3" ht="16.5" customHeight="1">
      <c r="A77" s="141" t="s">
        <v>409</v>
      </c>
      <c r="B77" s="141"/>
      <c r="C77" s="141"/>
    </row>
    <row r="78" spans="1:3" ht="16.5">
      <c r="A78" s="141" t="s">
        <v>412</v>
      </c>
      <c r="B78" s="145" t="s">
        <v>443</v>
      </c>
      <c r="C78" s="145" t="s">
        <v>414</v>
      </c>
    </row>
    <row r="79" spans="1:5" ht="16.5">
      <c r="A79" s="142" t="s">
        <v>416</v>
      </c>
      <c r="B79" s="146" t="s">
        <v>485</v>
      </c>
      <c r="C79" s="147">
        <v>59157</v>
      </c>
      <c r="D79" s="148">
        <f>C79/D$74</f>
        <v>0.0008364785234064881</v>
      </c>
      <c r="E79">
        <f>IF(D79&lt;J$9,G$9,IF(D79&lt;J$8,G$8,IF(D79&lt;J$7,G$7,IF(D79&lt;J$6,G$6,G$5))))</f>
        <v>0</v>
      </c>
    </row>
    <row r="80" spans="1:3" ht="16.5">
      <c r="A80" s="158"/>
      <c r="B80" s="158"/>
      <c r="C80" s="158"/>
    </row>
    <row r="81" spans="1:3" ht="15.75" customHeight="1">
      <c r="A81" s="136" t="s">
        <v>419</v>
      </c>
      <c r="B81" s="136"/>
      <c r="C81" s="136"/>
    </row>
    <row r="82" spans="1:3" ht="16.5" customHeight="1">
      <c r="A82" s="141" t="s">
        <v>422</v>
      </c>
      <c r="B82" s="141"/>
      <c r="C82" s="141"/>
    </row>
    <row r="83" spans="1:5" ht="32.25">
      <c r="A83" s="142" t="s">
        <v>423</v>
      </c>
      <c r="B83" s="146" t="s">
        <v>486</v>
      </c>
      <c r="C83" s="147">
        <v>12000</v>
      </c>
      <c r="D83" s="148">
        <f>C83/D$74</f>
        <v>0.0001696797045299433</v>
      </c>
      <c r="E83">
        <f>IF(D83&lt;J$9,G$9,IF(D83&lt;J$8,G$8,IF(D83&lt;J$7,G$7,IF(D83&lt;J$6,G$6,G$5))))</f>
        <v>0</v>
      </c>
    </row>
    <row r="84" spans="1:3" ht="16.5" customHeight="1">
      <c r="A84" s="150" t="s">
        <v>425</v>
      </c>
      <c r="B84" s="150"/>
      <c r="C84" s="150"/>
    </row>
    <row r="85" spans="1:5" ht="16.5">
      <c r="A85" s="142" t="s">
        <v>426</v>
      </c>
      <c r="B85" s="146" t="s">
        <v>485</v>
      </c>
      <c r="C85" s="147">
        <v>118444</v>
      </c>
      <c r="D85" s="148">
        <f>C85/D$74</f>
        <v>0.0016747952436120504</v>
      </c>
      <c r="E85">
        <f>IF(D85&lt;J$9,G$9,IF(D85&lt;J$8,G$8,IF(D85&lt;J$7,G$7,IF(D85&lt;J$6,G$6,G$5))))</f>
        <v>0</v>
      </c>
    </row>
    <row r="86" spans="1:3" ht="16.5" customHeight="1">
      <c r="A86" s="151" t="s">
        <v>428</v>
      </c>
      <c r="B86" s="151"/>
      <c r="C86" s="151"/>
    </row>
    <row r="87" spans="1:5" ht="16.5">
      <c r="A87" s="142" t="s">
        <v>429</v>
      </c>
      <c r="B87" s="146" t="s">
        <v>485</v>
      </c>
      <c r="C87" s="147">
        <v>315669</v>
      </c>
      <c r="D87" s="148">
        <f>C87/D$74</f>
        <v>0.004463551887438556</v>
      </c>
      <c r="E87">
        <f>IF(D87&lt;J$9,G$9,IF(D87&lt;J$8,G$8,IF(D87&lt;J$7,G$7,IF(D87&lt;J$6,G$6,G$5))))</f>
        <v>0</v>
      </c>
    </row>
    <row r="88" spans="1:3" ht="16.5" customHeight="1">
      <c r="A88" s="151" t="s">
        <v>430</v>
      </c>
      <c r="B88" s="151"/>
      <c r="C88" s="151"/>
    </row>
    <row r="89" spans="1:5" ht="16.5">
      <c r="A89" s="142" t="s">
        <v>431</v>
      </c>
      <c r="B89" s="146" t="s">
        <v>485</v>
      </c>
      <c r="C89" s="147">
        <v>1741169</v>
      </c>
      <c r="D89" s="148">
        <f>C89/D$74</f>
        <v>0.024620086788058073</v>
      </c>
      <c r="E89">
        <f>IF(D89&lt;J$9,G$9,IF(D89&lt;J$8,G$8,IF(D89&lt;J$7,G$7,IF(D89&lt;J$6,G$6,G$5))))</f>
        <v>0</v>
      </c>
    </row>
    <row r="90" spans="1:3" ht="16.5" customHeight="1">
      <c r="A90" s="150" t="s">
        <v>433</v>
      </c>
      <c r="B90" s="150"/>
      <c r="C90" s="150"/>
    </row>
    <row r="91" spans="1:5" ht="16.5">
      <c r="A91" s="142" t="s">
        <v>434</v>
      </c>
      <c r="B91" s="146" t="s">
        <v>485</v>
      </c>
      <c r="C91" s="147">
        <v>120915</v>
      </c>
      <c r="D91" s="148">
        <f>C91/D$74</f>
        <v>0.0017097351227698414</v>
      </c>
      <c r="E91">
        <f>IF(D91&lt;J$9,G$9,IF(D91&lt;J$8,G$8,IF(D91&lt;J$7,G$7,IF(D91&lt;J$6,G$6,G$5))))</f>
        <v>0</v>
      </c>
    </row>
    <row r="92" spans="1:3" ht="16.5">
      <c r="A92" s="142"/>
      <c r="B92" s="146"/>
      <c r="C92" s="161"/>
    </row>
    <row r="93" spans="1:3" ht="15.75" customHeight="1">
      <c r="A93" s="156" t="s">
        <v>487</v>
      </c>
      <c r="B93" s="156"/>
      <c r="C93" s="156"/>
    </row>
    <row r="94" spans="1:3" ht="16.5" customHeight="1">
      <c r="A94" s="157" t="s">
        <v>451</v>
      </c>
      <c r="B94" s="157"/>
      <c r="C94" s="157"/>
    </row>
    <row r="95" spans="1:5" ht="32.25">
      <c r="A95" s="142" t="s">
        <v>452</v>
      </c>
      <c r="B95" s="146" t="s">
        <v>488</v>
      </c>
      <c r="C95" s="147">
        <v>60000</v>
      </c>
      <c r="D95" s="148">
        <f>C95/D$74</f>
        <v>0.0008483985226497166</v>
      </c>
      <c r="E95">
        <f>IF(D95&lt;J$9,G$9,IF(D95&lt;J$8,G$8,IF(D95&lt;J$7,G$7,IF(D95&lt;J$6,G$6,G$5))))</f>
        <v>0</v>
      </c>
    </row>
    <row r="96" spans="1:3" ht="15.75" customHeight="1">
      <c r="A96" s="136" t="s">
        <v>453</v>
      </c>
      <c r="B96" s="136"/>
      <c r="C96" s="136"/>
    </row>
    <row r="97" spans="1:3" ht="16.5" customHeight="1">
      <c r="A97" s="141" t="s">
        <v>489</v>
      </c>
      <c r="B97" s="141"/>
      <c r="C97" s="141"/>
    </row>
    <row r="98" spans="1:3" ht="16.5">
      <c r="A98" s="141" t="s">
        <v>412</v>
      </c>
      <c r="B98" s="145" t="s">
        <v>443</v>
      </c>
      <c r="C98" s="145" t="s">
        <v>414</v>
      </c>
    </row>
    <row r="99" spans="1:5" ht="15.75" customHeight="1">
      <c r="A99" s="159" t="s">
        <v>490</v>
      </c>
      <c r="B99" s="137" t="s">
        <v>491</v>
      </c>
      <c r="C99" s="160">
        <v>57517176</v>
      </c>
      <c r="D99" s="148">
        <f>C99/D$74</f>
        <v>0.8132914524230622</v>
      </c>
      <c r="E99">
        <f>IF(D99&lt;J$9,G$9,IF(D99&lt;J$8,G$8,IF(D99&lt;J$7,G$7,IF(D99&lt;J$6,G$6,G$5))))</f>
        <v>0</v>
      </c>
    </row>
    <row r="100" spans="1:3" ht="79.5">
      <c r="A100" s="142" t="s">
        <v>464</v>
      </c>
      <c r="B100" s="137"/>
      <c r="C100" s="160"/>
    </row>
    <row r="101" spans="1:3" ht="16.5" customHeight="1">
      <c r="A101" s="150" t="s">
        <v>471</v>
      </c>
      <c r="B101" s="150"/>
      <c r="C101" s="150"/>
    </row>
    <row r="102" spans="1:5" ht="32.25">
      <c r="A102" s="142" t="s">
        <v>472</v>
      </c>
      <c r="B102" s="146" t="s">
        <v>485</v>
      </c>
      <c r="C102" s="147">
        <v>10776921</v>
      </c>
      <c r="D102" s="148">
        <f>C102/D$74</f>
        <v>0.15238539758521177</v>
      </c>
      <c r="E102">
        <f>IF(D102&lt;J$9,G$9,IF(D102&lt;J$8,G$8,IF(D102&lt;J$7,G$7,IF(D102&lt;J$6,G$6,G$5))))</f>
        <v>0</v>
      </c>
    </row>
  </sheetData>
  <sheetProtection selectLockedCells="1" selectUnlockedCells="1"/>
  <mergeCells count="53">
    <mergeCell ref="A3:C3"/>
    <mergeCell ref="A5:C5"/>
    <mergeCell ref="A6:C6"/>
    <mergeCell ref="A9:C9"/>
    <mergeCell ref="A10:C10"/>
    <mergeCell ref="A12:C12"/>
    <mergeCell ref="A14:C14"/>
    <mergeCell ref="A16:C16"/>
    <mergeCell ref="A18:C18"/>
    <mergeCell ref="A21:C21"/>
    <mergeCell ref="A22:C22"/>
    <mergeCell ref="A24:C24"/>
    <mergeCell ref="A27:C27"/>
    <mergeCell ref="A28:C28"/>
    <mergeCell ref="A31:C31"/>
    <mergeCell ref="A33:C33"/>
    <mergeCell ref="A34:C34"/>
    <mergeCell ref="A35:C35"/>
    <mergeCell ref="A37:C37"/>
    <mergeCell ref="A38:C38"/>
    <mergeCell ref="A39:C39"/>
    <mergeCell ref="A43:C43"/>
    <mergeCell ref="A44:C44"/>
    <mergeCell ref="A47:C47"/>
    <mergeCell ref="A49:C49"/>
    <mergeCell ref="A51:C51"/>
    <mergeCell ref="B52:B53"/>
    <mergeCell ref="C52:C53"/>
    <mergeCell ref="A56:C56"/>
    <mergeCell ref="A58:C58"/>
    <mergeCell ref="A60:C60"/>
    <mergeCell ref="A62:C62"/>
    <mergeCell ref="A63:C63"/>
    <mergeCell ref="A64:C64"/>
    <mergeCell ref="A67:C67"/>
    <mergeCell ref="A68:C68"/>
    <mergeCell ref="A70:C70"/>
    <mergeCell ref="A76:C76"/>
    <mergeCell ref="A77:C77"/>
    <mergeCell ref="A80:C80"/>
    <mergeCell ref="A81:C81"/>
    <mergeCell ref="A82:C82"/>
    <mergeCell ref="A84:C84"/>
    <mergeCell ref="A86:C86"/>
    <mergeCell ref="A88:C88"/>
    <mergeCell ref="A90:C90"/>
    <mergeCell ref="A93:C93"/>
    <mergeCell ref="A94:C94"/>
    <mergeCell ref="A96:C96"/>
    <mergeCell ref="A97:C97"/>
    <mergeCell ref="B99:B100"/>
    <mergeCell ref="C99:C100"/>
    <mergeCell ref="A101:C10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angela.ribeiro</dc:creator>
  <cp:keywords/>
  <dc:description/>
  <cp:lastModifiedBy/>
  <cp:lastPrinted>2011-11-08T19:02:38Z</cp:lastPrinted>
  <dcterms:created xsi:type="dcterms:W3CDTF">2009-07-28T18:10:00Z</dcterms:created>
  <dcterms:modified xsi:type="dcterms:W3CDTF">2015-10-28T19:55:52Z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-1429801534</vt:i4>
  </property>
  <property fmtid="{D5CDD505-2E9C-101B-9397-08002B2CF9AE}" pid="3" name="_AuthorEmail">
    <vt:lpwstr>raimundo.pereira@inep.gov.br</vt:lpwstr>
  </property>
  <property fmtid="{D5CDD505-2E9C-101B-9397-08002B2CF9AE}" pid="4" name="_AuthorEmailDisplayName">
    <vt:lpwstr>Raimundo Nonato Almeida Pereira</vt:lpwstr>
  </property>
  <property fmtid="{D5CDD505-2E9C-101B-9397-08002B2CF9AE}" pid="5" name="_EmailSubject">
    <vt:lpwstr>PAINT</vt:lpwstr>
  </property>
  <property fmtid="{D5CDD505-2E9C-101B-9397-08002B2CF9AE}" pid="6" name="_PreviousAdHocReviewCycleID">
    <vt:i4>-1614448871</vt:i4>
  </property>
</Properties>
</file>